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activeX/activeX2.bin" ContentType="application/vnd.ms-office.activeX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activeX/activeX2.xml" ContentType="application/vnd.ms-office.activeX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120" windowWidth="13272" windowHeight="9432" tabRatio="1000"/>
  </bookViews>
  <sheets>
    <sheet name="Contents" sheetId="26" r:id="rId1"/>
    <sheet name="FV" sheetId="4" r:id="rId2"/>
    <sheet name="PMT1" sheetId="17" r:id="rId3"/>
    <sheet name="PMT2" sheetId="18" r:id="rId4"/>
    <sheet name="PV" sheetId="9" r:id="rId5"/>
    <sheet name="NPER" sheetId="15" r:id="rId6"/>
    <sheet name="IPMT、PPMT" sheetId="5" r:id="rId7"/>
    <sheet name="CUMPRINC" sheetId="21" r:id="rId8"/>
    <sheet name="SLN" sheetId="11" r:id="rId9"/>
    <sheet name="DB1" sheetId="23" r:id="rId10"/>
    <sheet name="DB2" sheetId="24" r:id="rId11"/>
    <sheet name="DDB" sheetId="25" r:id="rId12"/>
    <sheet name="VDB" sheetId="13" r:id="rId13"/>
    <sheet name="SYD" sheetId="12" r:id="rId14"/>
    <sheet name="NPV" sheetId="16" r:id="rId15"/>
    <sheet name="IRR" sheetId="7" r:id="rId16"/>
    <sheet name="RATE" sheetId="10" r:id="rId17"/>
    <sheet name="ACCRINT" sheetId="20" r:id="rId18"/>
    <sheet name="ACCRINTM" sheetId="19" r:id="rId19"/>
    <sheet name="DISC" sheetId="22" r:id="rId20"/>
  </sheets>
  <calcPr calcId="125725"/>
</workbook>
</file>

<file path=xl/calcChain.xml><?xml version="1.0" encoding="utf-8"?>
<calcChain xmlns="http://schemas.openxmlformats.org/spreadsheetml/2006/main">
  <c r="A9" i="25"/>
  <c r="A13"/>
  <c r="A12"/>
  <c r="A11"/>
  <c r="A10"/>
  <c r="B9" i="24"/>
  <c r="G6"/>
  <c r="F9" s="1"/>
  <c r="D9"/>
  <c r="B10"/>
  <c r="D10"/>
  <c r="B11"/>
  <c r="D12" s="1"/>
  <c r="D11"/>
  <c r="B12"/>
  <c r="B13"/>
  <c r="D13"/>
  <c r="A14" i="23"/>
  <c r="A9"/>
  <c r="A13"/>
  <c r="A12"/>
  <c r="A11"/>
  <c r="A10"/>
  <c r="C11" i="5"/>
  <c r="A11"/>
  <c r="C14"/>
  <c r="C13"/>
  <c r="C12"/>
  <c r="C10"/>
  <c r="C9"/>
  <c r="A14"/>
  <c r="A13"/>
  <c r="A12"/>
  <c r="A10"/>
  <c r="A9"/>
  <c r="A11" i="15"/>
  <c r="A10" i="21"/>
  <c r="A9"/>
  <c r="A11" i="22"/>
  <c r="A13" i="20"/>
  <c r="A11" i="19"/>
  <c r="A9" i="10"/>
  <c r="A14" i="7"/>
  <c r="A12"/>
  <c r="B19" i="18"/>
  <c r="E2"/>
  <c r="A9"/>
  <c r="A14" i="16"/>
  <c r="A15"/>
  <c r="A13" i="7"/>
  <c r="A9" i="11"/>
  <c r="A9" i="12"/>
  <c r="A10"/>
  <c r="A11"/>
  <c r="A12"/>
  <c r="A13"/>
  <c r="A9" i="13"/>
  <c r="A10"/>
  <c r="A11"/>
  <c r="A12"/>
  <c r="A13"/>
  <c r="A9" i="9"/>
  <c r="A9" i="17"/>
  <c r="A11" i="4"/>
  <c r="F10" i="24" l="1"/>
  <c r="B15"/>
  <c r="F11" l="1"/>
  <c r="F12" s="1"/>
  <c r="F13" l="1"/>
  <c r="F15" s="1"/>
  <c r="C17" s="1"/>
</calcChain>
</file>

<file path=xl/sharedStrings.xml><?xml version="1.0" encoding="utf-8"?>
<sst xmlns="http://schemas.openxmlformats.org/spreadsheetml/2006/main" count="323" uniqueCount="223">
  <si>
    <t>数据</t>
  </si>
  <si>
    <t>说明</t>
  </si>
  <si>
    <t>年利率</t>
  </si>
  <si>
    <t>结果</t>
  </si>
  <si>
    <t>现值</t>
    <phoneticPr fontId="6" type="noConversion"/>
  </si>
  <si>
    <t>贷款年限</t>
  </si>
  <si>
    <t>第三个月应付利息</t>
  </si>
  <si>
    <t>第一年全年应付利息</t>
  </si>
  <si>
    <t>第二年全年应付利息</t>
  </si>
  <si>
    <t>第三年全年应付利息</t>
  </si>
  <si>
    <t>第一年的净利</t>
  </si>
  <si>
    <t>第二年的净利</t>
  </si>
  <si>
    <t>第三年的净利</t>
  </si>
  <si>
    <t>第四年的净利</t>
  </si>
  <si>
    <t>第五年的净利</t>
  </si>
  <si>
    <t>前二年內部投资报酬率</t>
  </si>
  <si>
    <t>前四年內部投资报酬率</t>
  </si>
  <si>
    <t>前五年內部投资报酬率</t>
  </si>
  <si>
    <t>贷款现值</t>
    <phoneticPr fontId="6" type="noConversion"/>
  </si>
  <si>
    <t>业务的初始成本</t>
    <phoneticPr fontId="6" type="noConversion"/>
  </si>
  <si>
    <t>第一年提列的年度折旧金额</t>
  </si>
  <si>
    <t>第二年提列的年度折旧金额</t>
  </si>
  <si>
    <t>第三年提列的年度折旧金额</t>
  </si>
  <si>
    <t>第四年提列的年度折旧金额</t>
  </si>
  <si>
    <t>第五年提列的年度折旧金额</t>
  </si>
  <si>
    <t>贷款总额</t>
    <phoneticPr fontId="6" type="noConversion"/>
  </si>
  <si>
    <t>返回投资的年金现值</t>
    <phoneticPr fontId="6" type="noConversion"/>
  </si>
  <si>
    <t>贷款年数</t>
    <phoneticPr fontId="6" type="noConversion"/>
  </si>
  <si>
    <t>使用「直线折旧法」计算出來的每期折旧金额</t>
    <phoneticPr fontId="6" type="noConversion"/>
  </si>
  <si>
    <r>
      <t>贷款的年利率</t>
    </r>
    <r>
      <rPr>
        <sz val="10"/>
        <rFont val="Arial"/>
        <family val="2"/>
      </rPr>
      <t xml:space="preserve"> </t>
    </r>
    <phoneticPr fontId="6" type="noConversion"/>
  </si>
  <si>
    <t>第一个月的折旧数额</t>
    <phoneticPr fontId="6" type="noConversion"/>
  </si>
  <si>
    <r>
      <t>第一年的折旧数额</t>
    </r>
    <r>
      <rPr>
        <sz val="10"/>
        <rFont val="Arial"/>
        <family val="2"/>
      </rPr>
      <t xml:space="preserve"> </t>
    </r>
  </si>
  <si>
    <r>
      <t>第六个月与第十个月间的折旧数额</t>
    </r>
    <r>
      <rPr>
        <sz val="10"/>
        <rFont val="Arial"/>
        <family val="2"/>
      </rPr>
      <t xml:space="preserve"> </t>
    </r>
    <phoneticPr fontId="6" type="noConversion"/>
  </si>
  <si>
    <r>
      <t>第</t>
    </r>
    <r>
      <rPr>
        <sz val="10"/>
        <rFont val="Arial"/>
        <family val="2"/>
      </rPr>
      <t xml:space="preserve"> 7 </t>
    </r>
    <r>
      <rPr>
        <sz val="10"/>
        <rFont val="宋体"/>
        <charset val="134"/>
      </rPr>
      <t>个到第</t>
    </r>
    <r>
      <rPr>
        <sz val="10"/>
        <rFont val="Arial"/>
        <family val="2"/>
      </rPr>
      <t xml:space="preserve"> 16 </t>
    </r>
    <r>
      <rPr>
        <sz val="10"/>
        <rFont val="宋体"/>
        <charset val="134"/>
      </rPr>
      <t>个月间的折旧数总额，并利用</t>
    </r>
    <r>
      <rPr>
        <sz val="10"/>
        <rFont val="Arial"/>
        <family val="2"/>
      </rPr>
      <t xml:space="preserve"> 1.5 </t>
    </r>
    <r>
      <rPr>
        <sz val="10"/>
        <rFont val="宋体"/>
        <charset val="134"/>
      </rPr>
      <t>倍余额递減法來计算，而不是利用双倍余额递減法</t>
    </r>
    <phoneticPr fontId="6" type="noConversion"/>
  </si>
  <si>
    <t>贷款金额</t>
    <phoneticPr fontId="6" type="noConversion"/>
  </si>
  <si>
    <t>未来值</t>
    <phoneticPr fontId="6" type="noConversion"/>
  </si>
  <si>
    <t>款项在期初付款</t>
    <phoneticPr fontId="6" type="noConversion"/>
  </si>
  <si>
    <t>第一年的投资初始成本</t>
    <phoneticPr fontId="6" type="noConversion"/>
  </si>
  <si>
    <t>第一年回收利润金额</t>
    <phoneticPr fontId="6" type="noConversion"/>
  </si>
  <si>
    <t>第二年回收利润金额</t>
    <phoneticPr fontId="6" type="noConversion"/>
  </si>
  <si>
    <t>第三年回收利润金额</t>
    <phoneticPr fontId="6" type="noConversion"/>
  </si>
  <si>
    <t>预计要存款的年数</t>
    <phoneticPr fontId="6" type="noConversion"/>
  </si>
  <si>
    <r>
      <t>预计在</t>
    </r>
    <r>
      <rPr>
        <sz val="10"/>
        <rFont val="Arial"/>
        <family val="2"/>
      </rPr>
      <t xml:space="preserve"> 15 </t>
    </r>
    <r>
      <rPr>
        <sz val="10"/>
        <rFont val="宋体"/>
        <charset val="134"/>
      </rPr>
      <t>年中存款的总额</t>
    </r>
    <phoneticPr fontId="6" type="noConversion"/>
  </si>
  <si>
    <t>结果</t>
    <phoneticPr fontId="6" type="noConversion"/>
  </si>
  <si>
    <t>FV</t>
    <phoneticPr fontId="6" type="noConversion"/>
  </si>
  <si>
    <t>NPV</t>
    <phoneticPr fontId="6" type="noConversion"/>
  </si>
  <si>
    <t>年贴现率</t>
    <phoneticPr fontId="6" type="noConversion"/>
  </si>
  <si>
    <t>第四年回收利润金额</t>
    <phoneticPr fontId="6" type="noConversion"/>
  </si>
  <si>
    <t>第五年回收利润金额</t>
    <phoneticPr fontId="6" type="noConversion"/>
  </si>
  <si>
    <t>第六年装修投入费用</t>
    <phoneticPr fontId="6" type="noConversion"/>
  </si>
  <si>
    <t>上述投资的净现值，包括第六年的装修费</t>
    <phoneticPr fontId="6" type="noConversion"/>
  </si>
  <si>
    <t>上述投资的净现值，不包括第六年的装修费</t>
    <phoneticPr fontId="6" type="noConversion"/>
  </si>
  <si>
    <r>
      <t>每个月存款的金额，预计</t>
    </r>
    <r>
      <rPr>
        <sz val="10"/>
        <rFont val="Arial"/>
        <family val="2"/>
      </rPr>
      <t xml:space="preserve">15 </t>
    </r>
    <r>
      <rPr>
        <sz val="10"/>
        <rFont val="宋体"/>
        <charset val="134"/>
      </rPr>
      <t>年后有</t>
    </r>
    <r>
      <rPr>
        <sz val="10"/>
        <rFont val="Arial"/>
        <family val="2"/>
      </rPr>
      <t xml:space="preserve"> 1</t>
    </r>
    <r>
      <rPr>
        <sz val="10"/>
        <rFont val="Arial"/>
        <family val="2"/>
      </rPr>
      <t>,</t>
    </r>
    <r>
      <rPr>
        <sz val="10"/>
        <rFont val="Arial"/>
        <family val="2"/>
      </rPr>
      <t>500</t>
    </r>
    <r>
      <rPr>
        <sz val="10"/>
        <rFont val="Arial"/>
        <family val="2"/>
      </rPr>
      <t>,</t>
    </r>
    <r>
      <rPr>
        <sz val="10"/>
        <rFont val="Arial"/>
        <family val="2"/>
      </rPr>
      <t xml:space="preserve">000 </t>
    </r>
    <r>
      <rPr>
        <sz val="10"/>
        <rFont val="宋体"/>
        <charset val="134"/>
      </rPr>
      <t>的存款</t>
    </r>
    <r>
      <rPr>
        <sz val="10"/>
        <rFont val="Arial"/>
        <family val="2"/>
      </rPr>
      <t xml:space="preserve"> </t>
    </r>
    <phoneticPr fontId="6" type="noConversion"/>
  </si>
  <si>
    <t xml:space="preserve">PMT                     </t>
    <phoneticPr fontId="6" type="noConversion"/>
  </si>
  <si>
    <t xml:space="preserve">PMT                     </t>
    <phoneticPr fontId="6" type="noConversion"/>
  </si>
  <si>
    <t>贷款年限</t>
    <phoneticPr fontId="6" type="noConversion"/>
  </si>
  <si>
    <t>贷款金额</t>
    <phoneticPr fontId="6" type="noConversion"/>
  </si>
  <si>
    <t>每个月付款的金额</t>
    <phoneticPr fontId="6" type="noConversion"/>
  </si>
  <si>
    <t>利率</t>
    <phoneticPr fontId="6" type="noConversion"/>
  </si>
  <si>
    <t>贷款利率</t>
    <phoneticPr fontId="6" type="noConversion"/>
  </si>
  <si>
    <t>PV</t>
    <phoneticPr fontId="6" type="noConversion"/>
  </si>
  <si>
    <t>IRR</t>
    <phoneticPr fontId="6" type="noConversion"/>
  </si>
  <si>
    <t>RATE</t>
    <phoneticPr fontId="6" type="noConversion"/>
  </si>
  <si>
    <t>年付款</t>
    <phoneticPr fontId="6" type="noConversion"/>
  </si>
  <si>
    <t>发行日</t>
  </si>
  <si>
    <t>到期日</t>
  </si>
  <si>
    <t>息票利率百分比</t>
  </si>
  <si>
    <t>票面价值</t>
  </si>
  <si>
    <t>ACCRINTM</t>
    <phoneticPr fontId="15" type="noConversion"/>
  </si>
  <si>
    <t>结果</t>
    <phoneticPr fontId="15" type="noConversion"/>
  </si>
  <si>
    <r>
      <t>说明</t>
    </r>
    <r>
      <rPr>
        <sz val="10"/>
        <color indexed="8"/>
        <rFont val="Arial"/>
        <family val="2"/>
      </rPr>
      <t/>
    </r>
    <phoneticPr fontId="15" type="noConversion"/>
  </si>
  <si>
    <t xml:space="preserve"> =ACCRINTM(A4,A5,A6,A7,A8)</t>
    <phoneticPr fontId="15" type="noConversion"/>
  </si>
  <si>
    <t>满足上述条件的应计利息</t>
    <phoneticPr fontId="15" type="noConversion"/>
  </si>
  <si>
    <t>起息日</t>
  </si>
  <si>
    <t>成交日</t>
  </si>
  <si>
    <t>息票利率</t>
  </si>
  <si>
    <t>说明（结果）</t>
  </si>
  <si>
    <t>以实际天数/365 为日计数基准</t>
    <phoneticPr fontId="15" type="noConversion"/>
  </si>
  <si>
    <t>按半年期支付</t>
    <phoneticPr fontId="15" type="noConversion"/>
  </si>
  <si>
    <r>
      <t>以</t>
    </r>
    <r>
      <rPr>
        <sz val="10"/>
        <rFont val="Arial"/>
        <family val="2"/>
      </rPr>
      <t xml:space="preserve"> 30/360 </t>
    </r>
    <r>
      <rPr>
        <sz val="10"/>
        <rFont val="宋体"/>
        <charset val="134"/>
      </rPr>
      <t>为日计数基准</t>
    </r>
    <phoneticPr fontId="15" type="noConversion"/>
  </si>
  <si>
    <t>满足上述条件的应付利息</t>
    <phoneticPr fontId="15" type="noConversion"/>
  </si>
  <si>
    <t>结果</t>
    <phoneticPr fontId="15" type="noConversion"/>
  </si>
  <si>
    <t>ACCRINT</t>
    <phoneticPr fontId="15" type="noConversion"/>
  </si>
  <si>
    <t>到期日期</t>
  </si>
  <si>
    <t>结算日期</t>
    <phoneticPr fontId="6" type="noConversion"/>
  </si>
  <si>
    <t>价格</t>
    <phoneticPr fontId="6" type="noConversion"/>
  </si>
  <si>
    <t>赎回值</t>
    <phoneticPr fontId="6" type="noConversion"/>
  </si>
  <si>
    <t>DISC</t>
    <phoneticPr fontId="6" type="noConversion"/>
  </si>
  <si>
    <r>
      <t>实际天数</t>
    </r>
    <r>
      <rPr>
        <sz val="10"/>
        <rFont val="Arial"/>
        <family val="2"/>
      </rPr>
      <t xml:space="preserve">/360 </t>
    </r>
    <r>
      <rPr>
        <sz val="10"/>
        <rFont val="宋体"/>
        <charset val="134"/>
      </rPr>
      <t>基准类型</t>
    </r>
    <phoneticPr fontId="6" type="noConversion"/>
  </si>
  <si>
    <t>上述期间的证券的折扣率</t>
    <phoneticPr fontId="6" type="noConversion"/>
  </si>
  <si>
    <t>CUMPRINC</t>
    <phoneticPr fontId="6" type="noConversion"/>
  </si>
  <si>
    <r>
      <t>该笔贷款在第二年</t>
    </r>
    <r>
      <rPr>
        <sz val="10"/>
        <rFont val="Arial"/>
        <family val="2"/>
      </rPr>
      <t xml:space="preserve"> (</t>
    </r>
    <r>
      <rPr>
        <sz val="10"/>
        <rFont val="宋体"/>
        <charset val="134"/>
      </rPr>
      <t>付款期</t>
    </r>
    <r>
      <rPr>
        <sz val="10"/>
        <rFont val="Arial"/>
        <family val="2"/>
      </rPr>
      <t xml:space="preserve"> 13 </t>
    </r>
    <r>
      <rPr>
        <sz val="10"/>
        <rFont val="宋体"/>
        <charset val="134"/>
      </rPr>
      <t>至</t>
    </r>
    <r>
      <rPr>
        <sz val="10"/>
        <rFont val="Arial"/>
        <family val="2"/>
      </rPr>
      <t xml:space="preserve"> 24) </t>
    </r>
    <r>
      <rPr>
        <sz val="10"/>
        <rFont val="宋体"/>
        <charset val="134"/>
      </rPr>
      <t>所应偿还的本金总额</t>
    </r>
    <phoneticPr fontId="6" type="noConversion"/>
  </si>
  <si>
    <t>该笔贷款在第一个月所应偿还的本金</t>
    <phoneticPr fontId="6" type="noConversion"/>
  </si>
  <si>
    <t>NPER</t>
    <phoneticPr fontId="6" type="noConversion"/>
  </si>
  <si>
    <t>资产原值</t>
    <phoneticPr fontId="6" type="noConversion"/>
  </si>
  <si>
    <t>资产残值</t>
    <phoneticPr fontId="6" type="noConversion"/>
  </si>
  <si>
    <t>使用寿命</t>
    <phoneticPr fontId="6" type="noConversion"/>
  </si>
  <si>
    <r>
      <t>第一天的折旧数额</t>
    </r>
    <r>
      <rPr>
        <sz val="10"/>
        <rFont val="Arial"/>
        <family val="2"/>
      </rPr>
      <t xml:space="preserve">, </t>
    </r>
    <r>
      <rPr>
        <sz val="10"/>
        <rFont val="宋体"/>
        <charset val="134"/>
      </rPr>
      <t>自动假设折旧因子为</t>
    </r>
    <r>
      <rPr>
        <sz val="10"/>
        <rFont val="Arial"/>
        <family val="2"/>
      </rPr>
      <t xml:space="preserve"> 2 </t>
    </r>
    <phoneticPr fontId="6" type="noConversion"/>
  </si>
  <si>
    <t>VDB</t>
    <phoneticPr fontId="6" type="noConversion"/>
  </si>
  <si>
    <t>SYD</t>
    <phoneticPr fontId="6" type="noConversion"/>
  </si>
  <si>
    <t>SLN</t>
    <phoneticPr fontId="6" type="noConversion"/>
  </si>
  <si>
    <t>资产原值</t>
  </si>
  <si>
    <t>资产残值</t>
  </si>
  <si>
    <t>使用寿命</t>
  </si>
  <si>
    <t xml:space="preserve"> =FV(A4/12,A5,A6,A7,A8)</t>
    <phoneticPr fontId="6" type="noConversion"/>
  </si>
  <si>
    <r>
      <t>支付款项次数</t>
    </r>
    <r>
      <rPr>
        <sz val="10"/>
        <rFont val="Arial"/>
        <family val="2"/>
      </rPr>
      <t xml:space="preserve"> (</t>
    </r>
    <r>
      <rPr>
        <sz val="10"/>
        <rFont val="宋体"/>
        <charset val="134"/>
      </rPr>
      <t>期数</t>
    </r>
    <r>
      <rPr>
        <sz val="10"/>
        <rFont val="Arial"/>
        <family val="2"/>
      </rPr>
      <t>)</t>
    </r>
    <phoneticPr fontId="6" type="noConversion"/>
  </si>
  <si>
    <t>各期应付金额</t>
    <phoneticPr fontId="6" type="noConversion"/>
  </si>
  <si>
    <t>现值</t>
    <phoneticPr fontId="6" type="noConversion"/>
  </si>
  <si>
    <r>
      <t>设置给付类型</t>
    </r>
    <r>
      <rPr>
        <sz val="10"/>
        <rFont val="Arial"/>
        <family val="2"/>
      </rPr>
      <t>-</t>
    </r>
    <r>
      <rPr>
        <sz val="10"/>
        <rFont val="宋体"/>
        <charset val="134"/>
      </rPr>
      <t>期初</t>
    </r>
    <phoneticPr fontId="6" type="noConversion"/>
  </si>
  <si>
    <t>期间投资的未來值</t>
    <phoneticPr fontId="6" type="noConversion"/>
  </si>
  <si>
    <t xml:space="preserve"> =PMT(A4/12, A5*12, 0, A6)</t>
    <phoneticPr fontId="6" type="noConversion"/>
  </si>
  <si>
    <t>每月末的回报</t>
    <phoneticPr fontId="6" type="noConversion"/>
  </si>
  <si>
    <t>投资报酬率</t>
    <phoneticPr fontId="6" type="noConversion"/>
  </si>
  <si>
    <t>购买的年数</t>
    <phoneticPr fontId="6" type="noConversion"/>
  </si>
  <si>
    <t xml:space="preserve"> =PV(A5/12, 12*A6, A4,0, 0)</t>
    <phoneticPr fontId="6" type="noConversion"/>
  </si>
  <si>
    <t>每年所支付的款項</t>
    <phoneticPr fontId="6" type="noConversion"/>
  </si>
  <si>
    <r>
      <t>缴款总期数</t>
    </r>
    <r>
      <rPr>
        <sz val="10"/>
        <rFont val="Arial"/>
        <family val="2"/>
      </rPr>
      <t/>
    </r>
    <phoneticPr fontId="6" type="noConversion"/>
  </si>
  <si>
    <t xml:space="preserve"> =NPER(A4, A5, A6, A7, A8)</t>
    <phoneticPr fontId="6" type="noConversion"/>
  </si>
  <si>
    <t>第一个月应付利息</t>
    <phoneticPr fontId="6" type="noConversion"/>
  </si>
  <si>
    <t>第一年全年应付本金</t>
    <phoneticPr fontId="6" type="noConversion"/>
  </si>
  <si>
    <t>第二年全年应付本金</t>
    <phoneticPr fontId="6" type="noConversion"/>
  </si>
  <si>
    <t>第三年全年应付本金</t>
    <phoneticPr fontId="6" type="noConversion"/>
  </si>
  <si>
    <t>第一个月应付本金</t>
    <phoneticPr fontId="6" type="noConversion"/>
  </si>
  <si>
    <t>第三个月应付本金</t>
    <phoneticPr fontId="6" type="noConversion"/>
  </si>
  <si>
    <t>最后一个月应付利息</t>
    <phoneticPr fontId="6" type="noConversion"/>
  </si>
  <si>
    <t>最后一个月应付本金</t>
    <phoneticPr fontId="6" type="noConversion"/>
  </si>
  <si>
    <r>
      <t>IPMT</t>
    </r>
    <r>
      <rPr>
        <b/>
        <sz val="12"/>
        <rFont val="宋体"/>
        <charset val="134"/>
      </rPr>
      <t>、</t>
    </r>
    <r>
      <rPr>
        <b/>
        <sz val="12"/>
        <rFont val="Arial"/>
        <family val="2"/>
      </rPr>
      <t>PPMT</t>
    </r>
    <phoneticPr fontId="6" type="noConversion"/>
  </si>
  <si>
    <t xml:space="preserve"> =CUMPRINC(A4/12,A5*12,A6,13,24,0)</t>
    <phoneticPr fontId="6" type="noConversion"/>
  </si>
  <si>
    <t xml:space="preserve"> =CUMPRINC(A4/12,A5*12,A6,1,1,0)</t>
    <phoneticPr fontId="6" type="noConversion"/>
  </si>
  <si>
    <t xml:space="preserve"> =SLN(A4, A5, A6)</t>
    <phoneticPr fontId="6" type="noConversion"/>
  </si>
  <si>
    <t>计算第三年的折旧值</t>
    <phoneticPr fontId="15" type="noConversion"/>
  </si>
  <si>
    <t>计算第二年的折旧值</t>
    <phoneticPr fontId="15" type="noConversion"/>
  </si>
  <si>
    <t>计算第四年的折旧值</t>
    <phoneticPr fontId="15" type="noConversion"/>
  </si>
  <si>
    <t>计算第五年的折旧值</t>
    <phoneticPr fontId="15" type="noConversion"/>
  </si>
  <si>
    <t>结果</t>
    <phoneticPr fontId="15" type="noConversion"/>
  </si>
  <si>
    <t>DB</t>
    <phoneticPr fontId="15" type="noConversion"/>
  </si>
  <si>
    <t>说明</t>
    <phoneticPr fontId="15" type="noConversion"/>
  </si>
  <si>
    <t xml:space="preserve"> =DB(A4,A5,A6,1,7)</t>
    <phoneticPr fontId="15" type="noConversion"/>
  </si>
  <si>
    <t xml:space="preserve"> =DB(A4,A5,A6,2)</t>
    <phoneticPr fontId="15" type="noConversion"/>
  </si>
  <si>
    <t xml:space="preserve"> =DB(A4,A5,A6,3)</t>
    <phoneticPr fontId="15" type="noConversion"/>
  </si>
  <si>
    <t xml:space="preserve"> =DB(A4,A5,A6,4)</t>
    <phoneticPr fontId="15" type="noConversion"/>
  </si>
  <si>
    <t xml:space="preserve"> =DB(A4,A5,A6,5)</t>
    <phoneticPr fontId="15" type="noConversion"/>
  </si>
  <si>
    <r>
      <t>计算第一年</t>
    </r>
    <r>
      <rPr>
        <sz val="10"/>
        <rFont val="Arial"/>
        <family val="2"/>
      </rPr>
      <t xml:space="preserve">6 </t>
    </r>
    <r>
      <rPr>
        <sz val="10"/>
        <rFont val="宋体"/>
        <charset val="134"/>
      </rPr>
      <t>个月内的折旧值</t>
    </r>
    <phoneticPr fontId="15" type="noConversion"/>
  </si>
  <si>
    <r>
      <t>计算第六年</t>
    </r>
    <r>
      <rPr>
        <sz val="10"/>
        <rFont val="宋体"/>
        <charset val="134"/>
      </rPr>
      <t>的折旧值</t>
    </r>
    <phoneticPr fontId="15" type="noConversion"/>
  </si>
  <si>
    <t xml:space="preserve"> =DB(A4,A5,A6,6)</t>
    <phoneticPr fontId="15" type="noConversion"/>
  </si>
  <si>
    <t>DB</t>
    <phoneticPr fontId="15" type="noConversion"/>
  </si>
  <si>
    <t>原值</t>
    <phoneticPr fontId="15" type="noConversion"/>
  </si>
  <si>
    <t>残值</t>
    <phoneticPr fontId="15" type="noConversion"/>
  </si>
  <si>
    <t>使用年限</t>
    <phoneticPr fontId="15" type="noConversion"/>
  </si>
  <si>
    <t>年</t>
    <phoneticPr fontId="15" type="noConversion"/>
  </si>
  <si>
    <r>
      <t>Excel</t>
    </r>
    <r>
      <rPr>
        <sz val="10"/>
        <rFont val="宋体"/>
        <charset val="134"/>
      </rPr>
      <t>计算结果</t>
    </r>
    <phoneticPr fontId="15" type="noConversion"/>
  </si>
  <si>
    <t>手工计算结果</t>
    <phoneticPr fontId="15" type="noConversion"/>
  </si>
  <si>
    <r>
      <t>E</t>
    </r>
    <r>
      <rPr>
        <sz val="10"/>
        <rFont val="宋体"/>
        <charset val="134"/>
      </rPr>
      <t>xcel</t>
    </r>
    <r>
      <rPr>
        <sz val="10"/>
        <rFont val="宋体"/>
        <charset val="134"/>
      </rPr>
      <t>使用的折旧率</t>
    </r>
    <phoneticPr fontId="15" type="noConversion"/>
  </si>
  <si>
    <t>合计折旧</t>
    <phoneticPr fontId="15" type="noConversion"/>
  </si>
  <si>
    <t>下面的示例介绍了用Excel自动计算（使用DB函数）和用手工运算折旧的两种方法。</t>
    <phoneticPr fontId="15" type="noConversion"/>
  </si>
  <si>
    <t xml:space="preserve"> =B9/B4</t>
    <phoneticPr fontId="15" type="noConversion"/>
  </si>
  <si>
    <t xml:space="preserve"> =B10/($B$4-SUM($B$9:B9))</t>
    <phoneticPr fontId="15" type="noConversion"/>
  </si>
  <si>
    <t xml:space="preserve"> =B11/($B$4-SUM($B$9:B10))</t>
    <phoneticPr fontId="15" type="noConversion"/>
  </si>
  <si>
    <t xml:space="preserve"> =B12/($B$4-SUM($B$9:B11))</t>
    <phoneticPr fontId="15" type="noConversion"/>
  </si>
  <si>
    <t xml:space="preserve"> =B13/($B$4-SUM($B$9:B12))</t>
    <phoneticPr fontId="15" type="noConversion"/>
  </si>
  <si>
    <t xml:space="preserve"> =1-((B5/B4)^(1/B6))</t>
    <phoneticPr fontId="15" type="noConversion"/>
  </si>
  <si>
    <t>误差</t>
    <phoneticPr fontId="15" type="noConversion"/>
  </si>
  <si>
    <t xml:space="preserve"> =DB($B$4,$B$5,$B$6,A9)</t>
    <phoneticPr fontId="15" type="noConversion"/>
  </si>
  <si>
    <t xml:space="preserve"> =DB($B$4,$B$5,$B$6,A10)</t>
    <phoneticPr fontId="15" type="noConversion"/>
  </si>
  <si>
    <t xml:space="preserve"> =DB($B$4,$B$5,$B$6,A11)</t>
    <phoneticPr fontId="15" type="noConversion"/>
  </si>
  <si>
    <t xml:space="preserve"> =DB($B$4,$B$5,$B$6,A12)</t>
    <phoneticPr fontId="15" type="noConversion"/>
  </si>
  <si>
    <t xml:space="preserve"> =DB($B$4,$B$5,$B$6,A13)</t>
    <phoneticPr fontId="15" type="noConversion"/>
  </si>
  <si>
    <t xml:space="preserve"> =B4*I15</t>
    <phoneticPr fontId="15" type="noConversion"/>
  </si>
  <si>
    <t xml:space="preserve"> =($B$4-SUM($F$9:F9))*$I$15</t>
    <phoneticPr fontId="15" type="noConversion"/>
  </si>
  <si>
    <t xml:space="preserve"> =($B$4-SUM($F$9:F10))*$I$15</t>
    <phoneticPr fontId="15" type="noConversion"/>
  </si>
  <si>
    <t xml:space="preserve"> =($B$4-SUM($F$9:F11))*$I$15</t>
    <phoneticPr fontId="15" type="noConversion"/>
  </si>
  <si>
    <t xml:space="preserve"> =($B$4-SUM($F$9:F12))*$I$15</t>
    <phoneticPr fontId="15" type="noConversion"/>
  </si>
  <si>
    <r>
      <t>手工计算的折旧率</t>
    </r>
    <r>
      <rPr>
        <sz val="10"/>
        <rFont val="Arial"/>
        <family val="2"/>
      </rPr>
      <t>:</t>
    </r>
    <phoneticPr fontId="15" type="noConversion"/>
  </si>
  <si>
    <t>结果</t>
    <phoneticPr fontId="15" type="noConversion"/>
  </si>
  <si>
    <t>说明</t>
    <phoneticPr fontId="15" type="noConversion"/>
  </si>
  <si>
    <t>计算第二年的折旧值</t>
    <phoneticPr fontId="15" type="noConversion"/>
  </si>
  <si>
    <t>计算第三年的折旧值</t>
    <phoneticPr fontId="15" type="noConversion"/>
  </si>
  <si>
    <t>计算第四年的折旧值</t>
    <phoneticPr fontId="15" type="noConversion"/>
  </si>
  <si>
    <t>计算第五年的折旧值</t>
    <phoneticPr fontId="15" type="noConversion"/>
  </si>
  <si>
    <t>DDB</t>
    <phoneticPr fontId="15" type="noConversion"/>
  </si>
  <si>
    <r>
      <t>计算第一年</t>
    </r>
    <r>
      <rPr>
        <sz val="10"/>
        <rFont val="宋体"/>
        <charset val="134"/>
      </rPr>
      <t>的折旧值</t>
    </r>
    <phoneticPr fontId="15" type="noConversion"/>
  </si>
  <si>
    <t xml:space="preserve"> =DDB(A4,A5,A6,1)</t>
    <phoneticPr fontId="15" type="noConversion"/>
  </si>
  <si>
    <t xml:space="preserve"> =DDB(A4,A5,A6,2)</t>
    <phoneticPr fontId="15" type="noConversion"/>
  </si>
  <si>
    <t xml:space="preserve"> =DDB(A4,A5,A6,3)</t>
    <phoneticPr fontId="15" type="noConversion"/>
  </si>
  <si>
    <t xml:space="preserve"> =DDB(A4,A5,A6,4)</t>
    <phoneticPr fontId="15" type="noConversion"/>
  </si>
  <si>
    <t xml:space="preserve"> =DDB(A4,A5,A6,5)</t>
    <phoneticPr fontId="15" type="noConversion"/>
  </si>
  <si>
    <t xml:space="preserve"> =VDB(A4, A5, A6*12, 0, 1)</t>
    <phoneticPr fontId="6" type="noConversion"/>
  </si>
  <si>
    <t xml:space="preserve"> =VDB(A4, A5, A6, 0, 1)</t>
    <phoneticPr fontId="6" type="noConversion"/>
  </si>
  <si>
    <t xml:space="preserve"> =VDB(A4, A5, A6*12, 6,10)</t>
    <phoneticPr fontId="6" type="noConversion"/>
  </si>
  <si>
    <t xml:space="preserve"> =VDB(A4, A5, A6*12, 7, 16, 1.5)</t>
    <phoneticPr fontId="6" type="noConversion"/>
  </si>
  <si>
    <t xml:space="preserve"> =VDB(A4, A5, A6*365, 0, 1)</t>
    <phoneticPr fontId="6" type="noConversion"/>
  </si>
  <si>
    <r>
      <t xml:space="preserve"> =SYD(A4,A5,A6,2)</t>
    </r>
    <r>
      <rPr>
        <sz val="10"/>
        <rFont val="Arial"/>
        <family val="2"/>
      </rPr>
      <t/>
    </r>
  </si>
  <si>
    <r>
      <t xml:space="preserve"> =SYD(A4,A5,A6,3)</t>
    </r>
    <r>
      <rPr>
        <sz val="10"/>
        <rFont val="Arial"/>
        <family val="2"/>
      </rPr>
      <t/>
    </r>
  </si>
  <si>
    <r>
      <t xml:space="preserve"> =SYD(A4,A5,A6,4)</t>
    </r>
    <r>
      <rPr>
        <sz val="10"/>
        <rFont val="Arial"/>
        <family val="2"/>
      </rPr>
      <t/>
    </r>
  </si>
  <si>
    <r>
      <t xml:space="preserve"> =SYD(A4,A5,A6,5)</t>
    </r>
    <r>
      <rPr>
        <sz val="10"/>
        <rFont val="Arial"/>
        <family val="2"/>
      </rPr>
      <t/>
    </r>
  </si>
  <si>
    <t xml:space="preserve"> =SYD(A4,A5,A6,1)</t>
    <phoneticPr fontId="6" type="noConversion"/>
  </si>
  <si>
    <t xml:space="preserve"> =NPV(A4, A6:A10)+A5</t>
    <phoneticPr fontId="6" type="noConversion"/>
  </si>
  <si>
    <t xml:space="preserve"> =NPV(A4, A6:A10,A11)+A5</t>
    <phoneticPr fontId="6" type="noConversion"/>
  </si>
  <si>
    <t xml:space="preserve"> =IRR(A4:A6)</t>
    <phoneticPr fontId="6" type="noConversion"/>
  </si>
  <si>
    <t xml:space="preserve"> =IRR(A4:A8)</t>
    <phoneticPr fontId="6" type="noConversion"/>
  </si>
  <si>
    <t xml:space="preserve"> =IRR(A4:A9)</t>
    <phoneticPr fontId="6" type="noConversion"/>
  </si>
  <si>
    <t xml:space="preserve"> =ACCRINT(A4,A5,A6,A7,A8,A9,A10)</t>
    <phoneticPr fontId="15" type="noConversion"/>
  </si>
  <si>
    <t xml:space="preserve"> =DISC(A4,A5,A6,A7,A8)</t>
    <phoneticPr fontId="6" type="noConversion"/>
  </si>
  <si>
    <t>财务函数</t>
    <phoneticPr fontId="15" type="noConversion"/>
  </si>
  <si>
    <t>FV</t>
    <phoneticPr fontId="15" type="noConversion"/>
  </si>
  <si>
    <t>PMT</t>
    <phoneticPr fontId="15" type="noConversion"/>
  </si>
  <si>
    <t>PV</t>
    <phoneticPr fontId="15" type="noConversion"/>
  </si>
  <si>
    <t>NPER</t>
    <phoneticPr fontId="15" type="noConversion"/>
  </si>
  <si>
    <t>SLN</t>
    <phoneticPr fontId="15" type="noConversion"/>
  </si>
  <si>
    <t>VDB</t>
    <phoneticPr fontId="15" type="noConversion"/>
  </si>
  <si>
    <t>SYN</t>
    <phoneticPr fontId="15" type="noConversion"/>
  </si>
  <si>
    <t>NPV</t>
    <phoneticPr fontId="15" type="noConversion"/>
  </si>
  <si>
    <t>IRR</t>
    <phoneticPr fontId="15" type="noConversion"/>
  </si>
  <si>
    <t>RATE</t>
    <phoneticPr fontId="15" type="noConversion"/>
  </si>
  <si>
    <t>DISC</t>
    <phoneticPr fontId="15" type="noConversion"/>
  </si>
  <si>
    <r>
      <t>实</t>
    </r>
    <r>
      <rPr>
        <u/>
        <sz val="12"/>
        <color indexed="12"/>
        <rFont val="新細明體"/>
        <family val="1"/>
        <charset val="255"/>
      </rPr>
      <t>例</t>
    </r>
    <phoneticPr fontId="15" type="noConversion"/>
  </si>
  <si>
    <r>
      <t>实</t>
    </r>
    <r>
      <rPr>
        <u/>
        <sz val="12"/>
        <color indexed="12"/>
        <rFont val="新細明體"/>
        <family val="1"/>
        <charset val="255"/>
      </rPr>
      <t>例1</t>
    </r>
    <phoneticPr fontId="15" type="noConversion"/>
  </si>
  <si>
    <r>
      <t>实</t>
    </r>
    <r>
      <rPr>
        <u/>
        <sz val="12"/>
        <color indexed="12"/>
        <rFont val="新細明體"/>
        <family val="1"/>
        <charset val="255"/>
      </rPr>
      <t>例2</t>
    </r>
  </si>
  <si>
    <r>
      <t>IPMT</t>
    </r>
    <r>
      <rPr>
        <sz val="12"/>
        <rFont val="宋体"/>
        <charset val="134"/>
      </rPr>
      <t>、PPMT</t>
    </r>
    <phoneticPr fontId="15" type="noConversion"/>
  </si>
  <si>
    <t>CUMPRINC</t>
    <phoneticPr fontId="15" type="noConversion"/>
  </si>
  <si>
    <t>ACCRINTM</t>
    <phoneticPr fontId="15" type="noConversion"/>
  </si>
  <si>
    <t xml:space="preserve"> =PMT(A4/12, A5*12, A6)</t>
    <phoneticPr fontId="6" type="noConversion"/>
  </si>
  <si>
    <t xml:space="preserve"> =RATE(A4, A5, A6)</t>
    <phoneticPr fontId="6" type="noConversion"/>
  </si>
</sst>
</file>

<file path=xl/styles.xml><?xml version="1.0" encoding="utf-8"?>
<styleSheet xmlns="http://schemas.openxmlformats.org/spreadsheetml/2006/main">
  <numFmts count="12">
    <numFmt numFmtId="8" formatCode="&quot;¥&quot;#,##0.00;[Red]&quot;¥&quot;\-#,##0.00"/>
    <numFmt numFmtId="179" formatCode="&quot;$&quot;#,##0.00;[Red]\-&quot;$&quot;#,##0.00"/>
    <numFmt numFmtId="190" formatCode="0.00_ "/>
    <numFmt numFmtId="194" formatCode="yyyy/m/d;@"/>
    <numFmt numFmtId="196" formatCode="0.00_);[Red]\(0.00\)"/>
    <numFmt numFmtId="201" formatCode="#,##0.00_);[Red]\(#,##0.00\)"/>
    <numFmt numFmtId="202" formatCode="&quot;¥&quot;#,##0.00_);[Red]\(&quot;¥&quot;#,##0.00\)"/>
    <numFmt numFmtId="204" formatCode="#,##0_ "/>
    <numFmt numFmtId="205" formatCode="_(* #,##0_);_(* \(#,##0\);_(* &quot;-&quot;??_);_(@_)"/>
    <numFmt numFmtId="208" formatCode="0.000%"/>
    <numFmt numFmtId="209" formatCode="&quot;£&quot;#,##0.0000_);[Red]\(&quot;£&quot;#,##0.0000\)"/>
    <numFmt numFmtId="210" formatCode="#,##0.00_ "/>
  </numFmts>
  <fonts count="31"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新細明體"/>
      <family val="1"/>
      <charset val="255"/>
    </font>
    <font>
      <u/>
      <sz val="12"/>
      <color indexed="12"/>
      <name val="新細明體"/>
      <family val="1"/>
      <charset val="255"/>
    </font>
    <font>
      <sz val="10"/>
      <name val="MS Sans Serif"/>
      <family val="2"/>
    </font>
    <font>
      <sz val="9"/>
      <name val="新細明體"/>
      <family val="1"/>
      <charset val="255"/>
    </font>
    <font>
      <sz val="10"/>
      <name val="宋体"/>
      <charset val="134"/>
    </font>
    <font>
      <b/>
      <sz val="10"/>
      <name val="宋体"/>
      <charset val="134"/>
    </font>
    <font>
      <sz val="10"/>
      <name val="新細明體"/>
      <family val="1"/>
      <charset val="255"/>
    </font>
    <font>
      <sz val="12"/>
      <name val="宋体"/>
      <charset val="134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20"/>
      <name val="Arial"/>
      <family val="2"/>
    </font>
    <font>
      <sz val="9"/>
      <name val="宋体"/>
      <charset val="134"/>
    </font>
    <font>
      <sz val="10"/>
      <color indexed="8"/>
      <name val="Arial"/>
      <family val="2"/>
    </font>
    <font>
      <sz val="10"/>
      <color indexed="56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Arial"/>
      <family val="2"/>
    </font>
    <font>
      <sz val="10"/>
      <color indexed="12"/>
      <name val="Arial"/>
      <family val="2"/>
    </font>
    <font>
      <sz val="10"/>
      <color indexed="53"/>
      <name val="Arial"/>
      <family val="2"/>
    </font>
    <font>
      <sz val="10.5"/>
      <name val="Arial"/>
      <family val="2"/>
    </font>
    <font>
      <sz val="9"/>
      <color indexed="12"/>
      <name val="宋体"/>
      <charset val="134"/>
    </font>
    <font>
      <sz val="9"/>
      <color indexed="12"/>
      <name val="Arial"/>
      <family val="2"/>
    </font>
    <font>
      <sz val="10"/>
      <name val="Arial"/>
      <family val="2"/>
    </font>
    <font>
      <b/>
      <sz val="12"/>
      <name val="宋体"/>
      <charset val="134"/>
    </font>
    <font>
      <b/>
      <sz val="12"/>
      <color indexed="8"/>
      <name val="Arial"/>
      <family val="2"/>
    </font>
    <font>
      <sz val="20"/>
      <name val="隶书"/>
      <family val="3"/>
      <charset val="134"/>
    </font>
    <font>
      <u/>
      <sz val="12"/>
      <color indexed="12"/>
      <name val="宋体"/>
      <charset val="134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3">
    <xf numFmtId="0" fontId="0" fillId="0" borderId="0">
      <alignment vertical="center"/>
    </xf>
    <xf numFmtId="0" fontId="2" fillId="2" borderId="0" applyNumberFormat="0" applyFont="0" applyBorder="0" applyAlignment="0" applyProtection="0"/>
    <xf numFmtId="0" fontId="2" fillId="3" borderId="0" applyNumberFormat="0" applyFon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220">
    <xf numFmtId="0" fontId="0" fillId="0" borderId="0" xfId="0">
      <alignment vertical="center"/>
    </xf>
    <xf numFmtId="0" fontId="8" fillId="0" borderId="0" xfId="6" applyFont="1">
      <alignment vertical="center"/>
    </xf>
    <xf numFmtId="0" fontId="7" fillId="0" borderId="0" xfId="12" applyFont="1" applyAlignment="1">
      <alignment horizontal="left"/>
    </xf>
    <xf numFmtId="0" fontId="7" fillId="0" borderId="0" xfId="12" applyFont="1"/>
    <xf numFmtId="0" fontId="7" fillId="0" borderId="0" xfId="12" applyFont="1" applyBorder="1" applyAlignment="1">
      <alignment horizontal="left"/>
    </xf>
    <xf numFmtId="0" fontId="7" fillId="4" borderId="1" xfId="12" applyFont="1" applyFill="1" applyBorder="1" applyAlignment="1">
      <alignment horizontal="center"/>
    </xf>
    <xf numFmtId="0" fontId="9" fillId="0" borderId="0" xfId="6" applyFont="1">
      <alignment vertical="center"/>
    </xf>
    <xf numFmtId="0" fontId="7" fillId="0" borderId="1" xfId="6" applyFont="1" applyBorder="1" applyAlignment="1">
      <alignment horizontal="center" vertical="top" wrapText="1"/>
    </xf>
    <xf numFmtId="0" fontId="7" fillId="0" borderId="0" xfId="6" applyFont="1">
      <alignment vertical="center"/>
    </xf>
    <xf numFmtId="0" fontId="7" fillId="0" borderId="0" xfId="6" applyFont="1" applyAlignment="1">
      <alignment horizontal="center" vertical="top" wrapText="1"/>
    </xf>
    <xf numFmtId="0" fontId="7" fillId="4" borderId="1" xfId="6" applyFont="1" applyFill="1" applyBorder="1" applyAlignment="1">
      <alignment horizontal="center" vertical="center" wrapText="1"/>
    </xf>
    <xf numFmtId="0" fontId="7" fillId="0" borderId="0" xfId="12" quotePrefix="1" applyFont="1" applyAlignment="1">
      <alignment horizontal="left"/>
    </xf>
    <xf numFmtId="0" fontId="7" fillId="0" borderId="0" xfId="12" quotePrefix="1" applyFont="1"/>
    <xf numFmtId="0" fontId="11" fillId="0" borderId="0" xfId="6" applyFont="1">
      <alignment vertical="center"/>
    </xf>
    <xf numFmtId="0" fontId="12" fillId="0" borderId="0" xfId="12" applyFont="1" applyAlignment="1">
      <alignment horizontal="left"/>
    </xf>
    <xf numFmtId="0" fontId="12" fillId="0" borderId="0" xfId="12" applyFont="1"/>
    <xf numFmtId="0" fontId="12" fillId="0" borderId="0" xfId="12" applyFont="1" applyBorder="1" applyAlignment="1">
      <alignment horizontal="left"/>
    </xf>
    <xf numFmtId="0" fontId="12" fillId="0" borderId="0" xfId="6" applyFont="1">
      <alignment vertical="center"/>
    </xf>
    <xf numFmtId="0" fontId="11" fillId="0" borderId="0" xfId="6" applyFont="1" applyAlignment="1">
      <alignment horizontal="center" vertical="center" wrapText="1"/>
    </xf>
    <xf numFmtId="0" fontId="12" fillId="0" borderId="0" xfId="12" quotePrefix="1" applyFont="1"/>
    <xf numFmtId="0" fontId="12" fillId="0" borderId="0" xfId="12" quotePrefix="1" applyFont="1" applyAlignment="1">
      <alignment horizontal="left"/>
    </xf>
    <xf numFmtId="194" fontId="12" fillId="0" borderId="0" xfId="6" applyNumberFormat="1" applyFont="1">
      <alignment vertical="center"/>
    </xf>
    <xf numFmtId="0" fontId="12" fillId="0" borderId="0" xfId="6" quotePrefix="1" applyFont="1" applyAlignment="1">
      <alignment vertical="top" wrapText="1"/>
    </xf>
    <xf numFmtId="9" fontId="12" fillId="0" borderId="1" xfId="6" quotePrefix="1" applyNumberFormat="1" applyFont="1" applyBorder="1" applyAlignment="1">
      <alignment horizontal="center" vertical="center" wrapText="1"/>
    </xf>
    <xf numFmtId="3" fontId="12" fillId="0" borderId="1" xfId="6" applyNumberFormat="1" applyFont="1" applyBorder="1" applyAlignment="1">
      <alignment horizontal="center" vertical="top" wrapText="1"/>
    </xf>
    <xf numFmtId="3" fontId="12" fillId="0" borderId="0" xfId="6" applyNumberFormat="1" applyFont="1" applyAlignment="1">
      <alignment horizontal="center" vertical="top" wrapText="1"/>
    </xf>
    <xf numFmtId="0" fontId="12" fillId="0" borderId="0" xfId="8" applyFont="1">
      <alignment vertical="center"/>
    </xf>
    <xf numFmtId="0" fontId="11" fillId="0" borderId="0" xfId="9" applyFont="1" applyAlignment="1">
      <alignment vertical="center" wrapText="1"/>
    </xf>
    <xf numFmtId="0" fontId="12" fillId="0" borderId="0" xfId="9" applyFont="1">
      <alignment vertical="center"/>
    </xf>
    <xf numFmtId="0" fontId="12" fillId="0" borderId="0" xfId="9" applyFont="1" applyAlignment="1">
      <alignment vertical="top" wrapText="1"/>
    </xf>
    <xf numFmtId="0" fontId="12" fillId="0" borderId="0" xfId="7" applyFont="1">
      <alignment vertical="center"/>
    </xf>
    <xf numFmtId="0" fontId="11" fillId="0" borderId="0" xfId="7" applyFont="1" applyAlignment="1">
      <alignment horizontal="center" vertical="center" wrapText="1"/>
    </xf>
    <xf numFmtId="0" fontId="11" fillId="0" borderId="0" xfId="7" applyFont="1" applyAlignment="1">
      <alignment vertical="center" wrapText="1"/>
    </xf>
    <xf numFmtId="0" fontId="12" fillId="0" borderId="0" xfId="7" applyFont="1" applyAlignment="1">
      <alignment vertical="top" wrapText="1"/>
    </xf>
    <xf numFmtId="0" fontId="12" fillId="0" borderId="0" xfId="7" quotePrefix="1" applyFont="1" applyAlignment="1">
      <alignment horizontal="center" vertical="top" wrapText="1"/>
    </xf>
    <xf numFmtId="0" fontId="11" fillId="0" borderId="0" xfId="9" applyFont="1" applyAlignment="1">
      <alignment vertical="top" wrapText="1"/>
    </xf>
    <xf numFmtId="0" fontId="13" fillId="0" borderId="0" xfId="12" applyFont="1" applyBorder="1" applyAlignment="1">
      <alignment horizontal="left"/>
    </xf>
    <xf numFmtId="0" fontId="13" fillId="0" borderId="0" xfId="0" applyFont="1">
      <alignment vertical="center"/>
    </xf>
    <xf numFmtId="0" fontId="7" fillId="0" borderId="1" xfId="7" applyFont="1" applyFill="1" applyBorder="1" applyAlignment="1">
      <alignment horizontal="left" vertical="top" wrapText="1"/>
    </xf>
    <xf numFmtId="0" fontId="7" fillId="4" borderId="1" xfId="7" applyFont="1" applyFill="1" applyBorder="1" applyAlignment="1">
      <alignment horizontal="left" vertical="center" wrapText="1"/>
    </xf>
    <xf numFmtId="9" fontId="14" fillId="0" borderId="1" xfId="7" applyNumberFormat="1" applyFont="1" applyBorder="1" applyAlignment="1">
      <alignment horizontal="left" vertical="center" wrapText="1"/>
    </xf>
    <xf numFmtId="0" fontId="7" fillId="0" borderId="1" xfId="7" applyFont="1" applyBorder="1" applyAlignment="1">
      <alignment horizontal="left" vertical="center" wrapText="1"/>
    </xf>
    <xf numFmtId="3" fontId="14" fillId="0" borderId="1" xfId="7" applyNumberFormat="1" applyFont="1" applyBorder="1" applyAlignment="1">
      <alignment horizontal="left" vertical="top" wrapText="1"/>
    </xf>
    <xf numFmtId="0" fontId="7" fillId="0" borderId="1" xfId="7" applyFont="1" applyBorder="1" applyAlignment="1">
      <alignment horizontal="left" vertical="top" wrapText="1"/>
    </xf>
    <xf numFmtId="3" fontId="12" fillId="0" borderId="0" xfId="7" applyNumberFormat="1" applyFont="1" applyBorder="1" applyAlignment="1">
      <alignment horizontal="left" vertical="top" wrapText="1"/>
    </xf>
    <xf numFmtId="0" fontId="7" fillId="0" borderId="0" xfId="7" applyFont="1" applyBorder="1" applyAlignment="1">
      <alignment horizontal="left" vertical="top" wrapText="1"/>
    </xf>
    <xf numFmtId="0" fontId="7" fillId="4" borderId="1" xfId="12" applyFont="1" applyFill="1" applyBorder="1" applyAlignment="1">
      <alignment horizontal="left"/>
    </xf>
    <xf numFmtId="0" fontId="7" fillId="0" borderId="1" xfId="6" applyFont="1" applyBorder="1" applyAlignment="1">
      <alignment horizontal="left" vertical="top" wrapText="1"/>
    </xf>
    <xf numFmtId="0" fontId="7" fillId="4" borderId="1" xfId="6" applyFont="1" applyFill="1" applyBorder="1" applyAlignment="1">
      <alignment horizontal="left" vertical="center" wrapText="1"/>
    </xf>
    <xf numFmtId="0" fontId="7" fillId="0" borderId="0" xfId="6" quotePrefix="1" applyFont="1" applyAlignment="1">
      <alignment horizontal="left" vertical="top" wrapText="1"/>
    </xf>
    <xf numFmtId="0" fontId="2" fillId="0" borderId="0" xfId="7" applyFont="1">
      <alignment vertical="center"/>
    </xf>
    <xf numFmtId="0" fontId="2" fillId="0" borderId="0" xfId="12" applyFont="1"/>
    <xf numFmtId="0" fontId="2" fillId="0" borderId="0" xfId="12" applyFont="1" applyAlignment="1">
      <alignment horizontal="left"/>
    </xf>
    <xf numFmtId="3" fontId="2" fillId="0" borderId="0" xfId="7" applyNumberFormat="1" applyFont="1" applyAlignment="1">
      <alignment horizontal="left" vertical="top" wrapText="1"/>
    </xf>
    <xf numFmtId="0" fontId="7" fillId="0" borderId="0" xfId="7" applyFont="1" applyAlignment="1">
      <alignment horizontal="left" vertical="top" wrapText="1"/>
    </xf>
    <xf numFmtId="10" fontId="2" fillId="0" borderId="0" xfId="7" applyNumberFormat="1" applyFont="1">
      <alignment vertical="center"/>
    </xf>
    <xf numFmtId="10" fontId="14" fillId="0" borderId="1" xfId="7" applyNumberFormat="1" applyFont="1" applyBorder="1" applyAlignment="1">
      <alignment horizontal="left" vertical="top" wrapText="1"/>
    </xf>
    <xf numFmtId="0" fontId="14" fillId="0" borderId="1" xfId="7" applyFont="1" applyBorder="1" applyAlignment="1">
      <alignment horizontal="left" vertical="top" wrapText="1"/>
    </xf>
    <xf numFmtId="9" fontId="14" fillId="0" borderId="1" xfId="7" applyNumberFormat="1" applyFont="1" applyBorder="1" applyAlignment="1">
      <alignment horizontal="left" vertical="top" wrapText="1"/>
    </xf>
    <xf numFmtId="3" fontId="12" fillId="0" borderId="0" xfId="7" applyNumberFormat="1" applyFont="1" applyAlignment="1">
      <alignment horizontal="left" vertical="top" wrapText="1"/>
    </xf>
    <xf numFmtId="0" fontId="7" fillId="4" borderId="1" xfId="7" applyFont="1" applyFill="1" applyBorder="1" applyAlignment="1">
      <alignment horizontal="right" vertical="center"/>
    </xf>
    <xf numFmtId="202" fontId="2" fillId="4" borderId="1" xfId="12" applyNumberFormat="1" applyFont="1" applyFill="1" applyBorder="1" applyAlignment="1">
      <alignment horizontal="right"/>
    </xf>
    <xf numFmtId="10" fontId="14" fillId="5" borderId="1" xfId="7" applyNumberFormat="1" applyFont="1" applyFill="1" applyBorder="1" applyAlignment="1">
      <alignment horizontal="right" vertical="center"/>
    </xf>
    <xf numFmtId="202" fontId="2" fillId="5" borderId="1" xfId="12" applyNumberFormat="1" applyFont="1" applyFill="1" applyBorder="1" applyAlignment="1">
      <alignment horizontal="right"/>
    </xf>
    <xf numFmtId="202" fontId="2" fillId="5" borderId="1" xfId="7" applyNumberFormat="1" applyFont="1" applyFill="1" applyBorder="1" applyAlignment="1">
      <alignment horizontal="right" vertical="center"/>
    </xf>
    <xf numFmtId="0" fontId="2" fillId="0" borderId="0" xfId="12" applyFont="1" applyAlignment="1">
      <alignment horizontal="center"/>
    </xf>
    <xf numFmtId="8" fontId="2" fillId="0" borderId="1" xfId="12" applyNumberFormat="1" applyFont="1" applyBorder="1" applyAlignment="1">
      <alignment horizontal="center"/>
    </xf>
    <xf numFmtId="0" fontId="2" fillId="4" borderId="1" xfId="12" applyFont="1" applyFill="1" applyBorder="1" applyAlignment="1">
      <alignment horizontal="center"/>
    </xf>
    <xf numFmtId="10" fontId="2" fillId="4" borderId="1" xfId="7" applyNumberFormat="1" applyFont="1" applyFill="1" applyBorder="1" applyAlignment="1">
      <alignment horizontal="center" vertical="center"/>
    </xf>
    <xf numFmtId="0" fontId="7" fillId="4" borderId="1" xfId="8" applyFont="1" applyFill="1" applyBorder="1" applyAlignment="1">
      <alignment horizontal="left" vertical="center" wrapText="1"/>
    </xf>
    <xf numFmtId="0" fontId="12" fillId="0" borderId="1" xfId="8" applyFont="1" applyBorder="1" applyAlignment="1">
      <alignment horizontal="left" vertical="top" wrapText="1"/>
    </xf>
    <xf numFmtId="0" fontId="7" fillId="0" borderId="1" xfId="8" applyFont="1" applyBorder="1" applyAlignment="1">
      <alignment horizontal="left" vertical="top" wrapText="1"/>
    </xf>
    <xf numFmtId="9" fontId="12" fillId="0" borderId="1" xfId="8" applyNumberFormat="1" applyFont="1" applyBorder="1" applyAlignment="1">
      <alignment horizontal="left" vertical="top" wrapText="1"/>
    </xf>
    <xf numFmtId="0" fontId="12" fillId="0" borderId="0" xfId="8" applyFont="1" applyBorder="1" applyAlignment="1">
      <alignment horizontal="left" vertical="top" wrapText="1"/>
    </xf>
    <xf numFmtId="0" fontId="7" fillId="0" borderId="0" xfId="8" applyFont="1" applyBorder="1" applyAlignment="1">
      <alignment horizontal="left" vertical="top" wrapText="1"/>
    </xf>
    <xf numFmtId="0" fontId="13" fillId="0" borderId="2" xfId="12" applyFont="1" applyBorder="1" applyAlignment="1">
      <alignment horizontal="left"/>
    </xf>
    <xf numFmtId="10" fontId="12" fillId="0" borderId="1" xfId="8" quotePrefix="1" applyNumberFormat="1" applyFont="1" applyBorder="1" applyAlignment="1">
      <alignment horizontal="left" vertical="center"/>
    </xf>
    <xf numFmtId="0" fontId="7" fillId="0" borderId="1" xfId="8" applyFont="1" applyBorder="1" applyAlignment="1">
      <alignment horizontal="left" vertical="center"/>
    </xf>
    <xf numFmtId="0" fontId="10" fillId="0" borderId="0" xfId="4">
      <alignment vertical="center"/>
    </xf>
    <xf numFmtId="0" fontId="7" fillId="0" borderId="0" xfId="4" applyFont="1">
      <alignment vertical="center"/>
    </xf>
    <xf numFmtId="0" fontId="7" fillId="0" borderId="0" xfId="4" applyFont="1" applyAlignment="1">
      <alignment wrapText="1"/>
    </xf>
    <xf numFmtId="0" fontId="11" fillId="0" borderId="0" xfId="4" applyFont="1" applyAlignment="1">
      <alignment horizontal="center" vertical="center" wrapText="1"/>
    </xf>
    <xf numFmtId="0" fontId="16" fillId="2" borderId="1" xfId="1" applyFont="1" applyBorder="1" applyAlignment="1">
      <alignment horizontal="center"/>
    </xf>
    <xf numFmtId="0" fontId="16" fillId="2" borderId="3" xfId="1" applyFont="1" applyBorder="1" applyAlignment="1">
      <alignment horizontal="center"/>
    </xf>
    <xf numFmtId="0" fontId="7" fillId="3" borderId="3" xfId="2" applyFont="1" applyBorder="1" applyAlignment="1">
      <alignment horizontal="left" wrapText="1"/>
    </xf>
    <xf numFmtId="0" fontId="17" fillId="0" borderId="0" xfId="4" applyFont="1">
      <alignment vertical="center"/>
    </xf>
    <xf numFmtId="0" fontId="13" fillId="0" borderId="0" xfId="4" applyFont="1">
      <alignment vertical="center"/>
    </xf>
    <xf numFmtId="0" fontId="7" fillId="3" borderId="3" xfId="2" applyFont="1" applyBorder="1" applyAlignment="1">
      <alignment wrapText="1"/>
    </xf>
    <xf numFmtId="0" fontId="14" fillId="3" borderId="1" xfId="2" applyFont="1" applyBorder="1" applyAlignment="1">
      <alignment horizontal="left" wrapText="1"/>
    </xf>
    <xf numFmtId="0" fontId="18" fillId="2" borderId="1" xfId="1" applyFont="1" applyBorder="1" applyAlignment="1">
      <alignment horizontal="center"/>
    </xf>
    <xf numFmtId="0" fontId="18" fillId="2" borderId="3" xfId="1" applyFont="1" applyBorder="1" applyAlignment="1">
      <alignment horizontal="center"/>
    </xf>
    <xf numFmtId="14" fontId="14" fillId="3" borderId="1" xfId="2" applyNumberFormat="1" applyFont="1" applyBorder="1" applyAlignment="1">
      <alignment horizontal="left" wrapText="1"/>
    </xf>
    <xf numFmtId="9" fontId="14" fillId="3" borderId="1" xfId="2" applyNumberFormat="1" applyFont="1" applyBorder="1" applyAlignment="1">
      <alignment horizontal="left" wrapText="1"/>
    </xf>
    <xf numFmtId="0" fontId="10" fillId="0" borderId="0" xfId="3">
      <alignment vertical="center"/>
    </xf>
    <xf numFmtId="0" fontId="11" fillId="0" borderId="0" xfId="3" applyFont="1">
      <alignment vertical="center"/>
    </xf>
    <xf numFmtId="0" fontId="7" fillId="0" borderId="0" xfId="3" applyFont="1">
      <alignment vertical="center"/>
    </xf>
    <xf numFmtId="0" fontId="16" fillId="2" borderId="1" xfId="1" applyFont="1" applyBorder="1" applyAlignment="1">
      <alignment horizontal="left"/>
    </xf>
    <xf numFmtId="14" fontId="14" fillId="3" borderId="1" xfId="2" applyNumberFormat="1" applyFont="1" applyBorder="1" applyAlignment="1">
      <alignment horizontal="left"/>
    </xf>
    <xf numFmtId="0" fontId="7" fillId="3" borderId="1" xfId="2" applyFont="1" applyBorder="1" applyAlignment="1">
      <alignment horizontal="left" wrapText="1"/>
    </xf>
    <xf numFmtId="9" fontId="14" fillId="3" borderId="1" xfId="2" applyNumberFormat="1" applyFont="1" applyBorder="1" applyAlignment="1">
      <alignment horizontal="left"/>
    </xf>
    <xf numFmtId="0" fontId="14" fillId="3" borderId="1" xfId="2" applyFont="1" applyBorder="1" applyAlignment="1">
      <alignment horizontal="left"/>
    </xf>
    <xf numFmtId="0" fontId="0" fillId="0" borderId="0" xfId="0" applyAlignment="1">
      <alignment horizontal="left" vertical="center"/>
    </xf>
    <xf numFmtId="0" fontId="18" fillId="2" borderId="1" xfId="1" applyFont="1" applyBorder="1" applyAlignment="1">
      <alignment horizontal="left"/>
    </xf>
    <xf numFmtId="0" fontId="13" fillId="0" borderId="0" xfId="3" applyFont="1">
      <alignment vertical="center"/>
    </xf>
    <xf numFmtId="0" fontId="2" fillId="0" borderId="0" xfId="0" applyFont="1">
      <alignment vertical="center"/>
    </xf>
    <xf numFmtId="0" fontId="7" fillId="0" borderId="0" xfId="5" applyFont="1" applyAlignment="1">
      <alignment vertical="top" wrapText="1"/>
    </xf>
    <xf numFmtId="0" fontId="7" fillId="0" borderId="0" xfId="5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5" applyFont="1" applyAlignment="1">
      <alignment horizontal="left" vertical="top" wrapText="1"/>
    </xf>
    <xf numFmtId="179" fontId="7" fillId="0" borderId="0" xfId="5" quotePrefix="1" applyNumberFormat="1" applyFont="1" applyAlignment="1">
      <alignment horizontal="left" vertical="top" wrapText="1"/>
    </xf>
    <xf numFmtId="0" fontId="7" fillId="0" borderId="1" xfId="5" applyFont="1" applyBorder="1" applyAlignment="1">
      <alignment horizontal="left" vertical="top" wrapText="1"/>
    </xf>
    <xf numFmtId="0" fontId="7" fillId="4" borderId="1" xfId="5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2" fillId="0" borderId="0" xfId="5" applyFont="1" applyAlignment="1">
      <alignment horizontal="left" vertical="top" wrapText="1"/>
    </xf>
    <xf numFmtId="14" fontId="14" fillId="0" borderId="1" xfId="5" applyNumberFormat="1" applyFont="1" applyBorder="1" applyAlignment="1">
      <alignment horizontal="left" vertical="top" wrapText="1"/>
    </xf>
    <xf numFmtId="0" fontId="14" fillId="0" borderId="1" xfId="5" applyFont="1" applyBorder="1" applyAlignment="1">
      <alignment horizontal="left" vertical="top" wrapText="1"/>
    </xf>
    <xf numFmtId="0" fontId="2" fillId="0" borderId="0" xfId="5" applyFont="1">
      <alignment vertical="center"/>
    </xf>
    <xf numFmtId="0" fontId="12" fillId="0" borderId="0" xfId="5" applyFont="1">
      <alignment vertical="center"/>
    </xf>
    <xf numFmtId="0" fontId="12" fillId="0" borderId="0" xfId="5" applyFont="1" applyAlignment="1">
      <alignment vertical="top" wrapText="1"/>
    </xf>
    <xf numFmtId="0" fontId="12" fillId="0" borderId="0" xfId="5" quotePrefix="1" applyFont="1" applyAlignment="1">
      <alignment vertical="top" wrapText="1"/>
    </xf>
    <xf numFmtId="3" fontId="12" fillId="0" borderId="0" xfId="5" applyNumberFormat="1" applyFont="1" applyAlignment="1">
      <alignment horizontal="left" vertical="top" wrapText="1"/>
    </xf>
    <xf numFmtId="0" fontId="12" fillId="0" borderId="0" xfId="5" applyFont="1" applyAlignment="1">
      <alignment horizontal="left" vertical="top" wrapText="1"/>
    </xf>
    <xf numFmtId="9" fontId="14" fillId="0" borderId="1" xfId="5" applyNumberFormat="1" applyFont="1" applyBorder="1" applyAlignment="1">
      <alignment horizontal="left" vertical="top" wrapText="1"/>
    </xf>
    <xf numFmtId="3" fontId="14" fillId="0" borderId="1" xfId="5" applyNumberFormat="1" applyFont="1" applyBorder="1" applyAlignment="1">
      <alignment horizontal="left" vertical="top" wrapText="1"/>
    </xf>
    <xf numFmtId="0" fontId="14" fillId="0" borderId="1" xfId="8" applyFont="1" applyBorder="1" applyAlignment="1">
      <alignment horizontal="left" vertical="top" wrapText="1"/>
    </xf>
    <xf numFmtId="3" fontId="14" fillId="0" borderId="1" xfId="8" applyNumberFormat="1" applyFont="1" applyBorder="1" applyAlignment="1">
      <alignment horizontal="left" vertical="top" wrapText="1"/>
    </xf>
    <xf numFmtId="0" fontId="12" fillId="0" borderId="0" xfId="6" applyFont="1" applyBorder="1" applyAlignment="1">
      <alignment horizontal="left" vertical="top" wrapText="1"/>
    </xf>
    <xf numFmtId="0" fontId="7" fillId="0" borderId="0" xfId="6" applyFont="1" applyBorder="1" applyAlignment="1">
      <alignment horizontal="left" vertical="top" wrapText="1"/>
    </xf>
    <xf numFmtId="0" fontId="8" fillId="4" borderId="1" xfId="6" applyFont="1" applyFill="1" applyBorder="1" applyAlignment="1">
      <alignment horizontal="left" vertical="center" wrapText="1"/>
    </xf>
    <xf numFmtId="9" fontId="14" fillId="0" borderId="1" xfId="6" applyNumberFormat="1" applyFont="1" applyBorder="1" applyAlignment="1">
      <alignment horizontal="left" vertical="top" wrapText="1"/>
    </xf>
    <xf numFmtId="0" fontId="14" fillId="0" borderId="1" xfId="6" applyFont="1" applyBorder="1" applyAlignment="1">
      <alignment horizontal="left" vertical="top" wrapText="1"/>
    </xf>
    <xf numFmtId="0" fontId="12" fillId="4" borderId="1" xfId="7" applyFont="1" applyFill="1" applyBorder="1" applyAlignment="1">
      <alignment horizontal="left" vertical="center"/>
    </xf>
    <xf numFmtId="0" fontId="12" fillId="0" borderId="1" xfId="7" applyFont="1" applyBorder="1" applyAlignment="1">
      <alignment horizontal="left" vertical="center"/>
    </xf>
    <xf numFmtId="0" fontId="12" fillId="0" borderId="0" xfId="7" applyFont="1" applyAlignment="1">
      <alignment horizontal="left" vertical="center"/>
    </xf>
    <xf numFmtId="0" fontId="13" fillId="0" borderId="0" xfId="7" applyFont="1">
      <alignment vertical="center"/>
    </xf>
    <xf numFmtId="0" fontId="14" fillId="0" borderId="1" xfId="7" applyFont="1" applyBorder="1" applyAlignment="1">
      <alignment horizontal="left" vertical="center"/>
    </xf>
    <xf numFmtId="9" fontId="14" fillId="0" borderId="1" xfId="7" applyNumberFormat="1" applyFont="1" applyBorder="1" applyAlignment="1">
      <alignment horizontal="left" vertical="center"/>
    </xf>
    <xf numFmtId="0" fontId="7" fillId="4" borderId="1" xfId="9" applyFont="1" applyFill="1" applyBorder="1" applyAlignment="1">
      <alignment horizontal="left" vertical="center" wrapText="1"/>
    </xf>
    <xf numFmtId="0" fontId="12" fillId="0" borderId="1" xfId="9" applyFont="1" applyBorder="1" applyAlignment="1">
      <alignment horizontal="left" vertical="top" wrapText="1"/>
    </xf>
    <xf numFmtId="0" fontId="7" fillId="0" borderId="1" xfId="9" applyFont="1" applyBorder="1" applyAlignment="1">
      <alignment horizontal="left" vertical="top" wrapText="1"/>
    </xf>
    <xf numFmtId="0" fontId="12" fillId="0" borderId="0" xfId="9" applyFont="1" applyAlignment="1">
      <alignment horizontal="left" vertical="top" wrapText="1"/>
    </xf>
    <xf numFmtId="0" fontId="7" fillId="0" borderId="0" xfId="9" applyFont="1" applyAlignment="1">
      <alignment horizontal="left" vertical="top" wrapText="1"/>
    </xf>
    <xf numFmtId="0" fontId="8" fillId="4" borderId="1" xfId="9" applyFont="1" applyFill="1" applyBorder="1" applyAlignment="1">
      <alignment horizontal="left" vertical="center" wrapText="1"/>
    </xf>
    <xf numFmtId="3" fontId="14" fillId="0" borderId="1" xfId="9" applyNumberFormat="1" applyFont="1" applyBorder="1" applyAlignment="1">
      <alignment horizontal="left" vertical="top" wrapText="1"/>
    </xf>
    <xf numFmtId="0" fontId="14" fillId="0" borderId="1" xfId="9" applyFont="1" applyBorder="1" applyAlignment="1">
      <alignment horizontal="left" vertical="top" wrapText="1"/>
    </xf>
    <xf numFmtId="0" fontId="7" fillId="0" borderId="1" xfId="7" applyFont="1" applyBorder="1" applyAlignment="1">
      <alignment horizontal="left" vertical="center"/>
    </xf>
    <xf numFmtId="0" fontId="7" fillId="0" borderId="0" xfId="10">
      <alignment vertical="center"/>
    </xf>
    <xf numFmtId="0" fontId="2" fillId="2" borderId="4" xfId="1" applyBorder="1"/>
    <xf numFmtId="205" fontId="14" fillId="3" borderId="1" xfId="2" applyNumberFormat="1" applyFont="1" applyBorder="1"/>
    <xf numFmtId="0" fontId="7" fillId="0" borderId="0" xfId="10" applyAlignment="1">
      <alignment horizontal="right"/>
    </xf>
    <xf numFmtId="0" fontId="14" fillId="3" borderId="1" xfId="2" applyFont="1" applyBorder="1" applyAlignment="1">
      <alignment horizontal="center"/>
    </xf>
    <xf numFmtId="0" fontId="20" fillId="0" borderId="0" xfId="10" applyFont="1">
      <alignment vertical="center"/>
    </xf>
    <xf numFmtId="0" fontId="7" fillId="0" borderId="0" xfId="10" applyFont="1">
      <alignment vertical="center"/>
    </xf>
    <xf numFmtId="0" fontId="7" fillId="2" borderId="3" xfId="1" applyFont="1" applyBorder="1" applyAlignment="1">
      <alignment horizontal="right"/>
    </xf>
    <xf numFmtId="0" fontId="7" fillId="2" borderId="1" xfId="1" applyFont="1" applyBorder="1" applyAlignment="1">
      <alignment horizontal="center"/>
    </xf>
    <xf numFmtId="0" fontId="20" fillId="0" borderId="0" xfId="10" applyFont="1" applyAlignment="1">
      <alignment horizontal="center"/>
    </xf>
    <xf numFmtId="0" fontId="7" fillId="0" borderId="0" xfId="10" quotePrefix="1" applyAlignment="1">
      <alignment horizontal="center"/>
    </xf>
    <xf numFmtId="0" fontId="2" fillId="2" borderId="1" xfId="1" applyFont="1" applyBorder="1" applyAlignment="1">
      <alignment horizontal="center" wrapText="1"/>
    </xf>
    <xf numFmtId="0" fontId="7" fillId="0" borderId="0" xfId="10" applyAlignment="1">
      <alignment wrapText="1"/>
    </xf>
    <xf numFmtId="0" fontId="11" fillId="0" borderId="0" xfId="10" applyFont="1" applyAlignment="1">
      <alignment horizontal="center" vertical="center" wrapText="1"/>
    </xf>
    <xf numFmtId="8" fontId="22" fillId="0" borderId="0" xfId="0" applyNumberFormat="1" applyFont="1" applyAlignment="1">
      <alignment horizontal="justify" vertical="center"/>
    </xf>
    <xf numFmtId="8" fontId="22" fillId="0" borderId="0" xfId="0" applyNumberFormat="1" applyFont="1">
      <alignment vertical="center"/>
    </xf>
    <xf numFmtId="0" fontId="24" fillId="0" borderId="0" xfId="6" applyFont="1">
      <alignment vertical="center"/>
    </xf>
    <xf numFmtId="210" fontId="12" fillId="0" borderId="1" xfId="7" quotePrefix="1" applyNumberFormat="1" applyFont="1" applyBorder="1" applyAlignment="1">
      <alignment horizontal="left" vertical="center"/>
    </xf>
    <xf numFmtId="10" fontId="14" fillId="0" borderId="1" xfId="6" applyNumberFormat="1" applyFont="1" applyBorder="1" applyAlignment="1">
      <alignment horizontal="left" vertical="top" wrapText="1"/>
    </xf>
    <xf numFmtId="0" fontId="25" fillId="0" borderId="0" xfId="6" applyFont="1" applyAlignment="1">
      <alignment horizontal="left" vertical="top" wrapText="1"/>
    </xf>
    <xf numFmtId="201" fontId="25" fillId="0" borderId="1" xfId="6" quotePrefix="1" applyNumberFormat="1" applyFont="1" applyBorder="1" applyAlignment="1">
      <alignment horizontal="left" vertical="top" wrapText="1"/>
    </xf>
    <xf numFmtId="0" fontId="24" fillId="0" borderId="0" xfId="12" applyFont="1"/>
    <xf numFmtId="201" fontId="2" fillId="0" borderId="1" xfId="7" quotePrefix="1" applyNumberFormat="1" applyFont="1" applyBorder="1" applyAlignment="1">
      <alignment horizontal="left" vertical="center"/>
    </xf>
    <xf numFmtId="196" fontId="2" fillId="0" borderId="1" xfId="8" quotePrefix="1" applyNumberFormat="1" applyFont="1" applyBorder="1" applyAlignment="1">
      <alignment horizontal="left" vertical="top" wrapText="1"/>
    </xf>
    <xf numFmtId="190" fontId="2" fillId="0" borderId="1" xfId="8" quotePrefix="1" applyNumberFormat="1" applyFont="1" applyBorder="1" applyAlignment="1">
      <alignment horizontal="left" vertical="top" wrapText="1"/>
    </xf>
    <xf numFmtId="0" fontId="24" fillId="0" borderId="0" xfId="8" applyFont="1">
      <alignment vertical="center"/>
    </xf>
    <xf numFmtId="0" fontId="22" fillId="0" borderId="0" xfId="0" applyFont="1">
      <alignment vertical="center"/>
    </xf>
    <xf numFmtId="0" fontId="24" fillId="0" borderId="0" xfId="7" applyFont="1">
      <alignment vertical="center"/>
    </xf>
    <xf numFmtId="190" fontId="2" fillId="0" borderId="1" xfId="6" quotePrefix="1" applyNumberFormat="1" applyFont="1" applyBorder="1" applyAlignment="1">
      <alignment horizontal="left" vertical="center" wrapText="1"/>
    </xf>
    <xf numFmtId="190" fontId="2" fillId="0" borderId="1" xfId="5" quotePrefix="1" applyNumberFormat="1" applyFont="1" applyBorder="1" applyAlignment="1">
      <alignment horizontal="left" vertical="top" wrapText="1"/>
    </xf>
    <xf numFmtId="0" fontId="24" fillId="0" borderId="0" xfId="5" applyFont="1">
      <alignment vertical="center"/>
    </xf>
    <xf numFmtId="0" fontId="23" fillId="0" borderId="0" xfId="10" applyFont="1">
      <alignment vertical="center"/>
    </xf>
    <xf numFmtId="202" fontId="21" fillId="3" borderId="5" xfId="2" applyNumberFormat="1" applyFont="1" applyBorder="1" applyAlignment="1">
      <alignment wrapText="1"/>
    </xf>
    <xf numFmtId="209" fontId="2" fillId="3" borderId="5" xfId="2" applyNumberFormat="1" applyFont="1" applyBorder="1" applyAlignment="1">
      <alignment wrapText="1"/>
    </xf>
    <xf numFmtId="202" fontId="25" fillId="3" borderId="1" xfId="2" applyNumberFormat="1" applyFont="1" applyBorder="1" applyAlignment="1">
      <alignment wrapText="1"/>
    </xf>
    <xf numFmtId="202" fontId="25" fillId="3" borderId="6" xfId="2" applyNumberFormat="1" applyFont="1" applyBorder="1" applyAlignment="1">
      <alignment wrapText="1"/>
    </xf>
    <xf numFmtId="202" fontId="2" fillId="3" borderId="1" xfId="2" applyNumberFormat="1" applyFont="1" applyBorder="1" applyAlignment="1">
      <alignment wrapText="1"/>
    </xf>
    <xf numFmtId="202" fontId="2" fillId="3" borderId="6" xfId="2" applyNumberFormat="1" applyFont="1" applyBorder="1" applyAlignment="1">
      <alignment wrapText="1"/>
    </xf>
    <xf numFmtId="0" fontId="19" fillId="0" borderId="0" xfId="10" applyFont="1" applyBorder="1">
      <alignment vertical="center"/>
    </xf>
    <xf numFmtId="0" fontId="19" fillId="0" borderId="0" xfId="10" applyFont="1" applyFill="1" applyBorder="1">
      <alignment vertical="center"/>
    </xf>
    <xf numFmtId="0" fontId="27" fillId="0" borderId="0" xfId="10" applyFont="1" applyBorder="1">
      <alignment vertical="center"/>
    </xf>
    <xf numFmtId="0" fontId="7" fillId="2" borderId="1" xfId="1" applyFont="1" applyBorder="1" applyAlignment="1">
      <alignment horizontal="center" wrapText="1"/>
    </xf>
    <xf numFmtId="204" fontId="14" fillId="3" borderId="1" xfId="2" applyNumberFormat="1" applyFont="1" applyBorder="1" applyAlignment="1">
      <alignment wrapText="1"/>
    </xf>
    <xf numFmtId="204" fontId="14" fillId="3" borderId="6" xfId="2" applyNumberFormat="1" applyFont="1" applyBorder="1" applyAlignment="1">
      <alignment wrapText="1"/>
    </xf>
    <xf numFmtId="201" fontId="2" fillId="3" borderId="1" xfId="2" applyNumberFormat="1" applyFont="1" applyBorder="1" applyAlignment="1">
      <alignment wrapText="1"/>
    </xf>
    <xf numFmtId="202" fontId="7" fillId="3" borderId="1" xfId="2" applyNumberFormat="1" applyFont="1" applyBorder="1" applyAlignment="1">
      <alignment wrapText="1"/>
    </xf>
    <xf numFmtId="0" fontId="24" fillId="0" borderId="0" xfId="10" applyFont="1">
      <alignment vertical="center"/>
    </xf>
    <xf numFmtId="208" fontId="2" fillId="3" borderId="1" xfId="2" applyNumberFormat="1" applyFont="1" applyBorder="1" applyAlignment="1">
      <alignment horizontal="center"/>
    </xf>
    <xf numFmtId="201" fontId="14" fillId="3" borderId="1" xfId="2" applyNumberFormat="1" applyFont="1" applyBorder="1"/>
    <xf numFmtId="196" fontId="2" fillId="3" borderId="1" xfId="2" applyNumberFormat="1" applyFont="1" applyBorder="1"/>
    <xf numFmtId="196" fontId="7" fillId="0" borderId="0" xfId="10" applyNumberFormat="1" applyFont="1">
      <alignment vertical="center"/>
    </xf>
    <xf numFmtId="196" fontId="12" fillId="3" borderId="1" xfId="2" applyNumberFormat="1" applyFont="1" applyBorder="1"/>
    <xf numFmtId="0" fontId="24" fillId="0" borderId="0" xfId="0" applyFont="1">
      <alignment vertical="center"/>
    </xf>
    <xf numFmtId="190" fontId="2" fillId="0" borderId="1" xfId="9" quotePrefix="1" applyNumberFormat="1" applyFont="1" applyBorder="1" applyAlignment="1">
      <alignment horizontal="left" vertical="top" wrapText="1"/>
    </xf>
    <xf numFmtId="0" fontId="24" fillId="0" borderId="0" xfId="9" applyFont="1">
      <alignment vertical="center"/>
    </xf>
    <xf numFmtId="196" fontId="2" fillId="0" borderId="1" xfId="9" quotePrefix="1" applyNumberFormat="1" applyFont="1" applyBorder="1" applyAlignment="1">
      <alignment horizontal="left" vertical="top" wrapText="1"/>
    </xf>
    <xf numFmtId="201" fontId="2" fillId="0" borderId="1" xfId="7" quotePrefix="1" applyNumberFormat="1" applyFont="1" applyFill="1" applyBorder="1" applyAlignment="1">
      <alignment horizontal="left" vertical="top" wrapText="1"/>
    </xf>
    <xf numFmtId="0" fontId="24" fillId="0" borderId="0" xfId="12" applyFont="1" applyAlignment="1">
      <alignment horizontal="left"/>
    </xf>
    <xf numFmtId="9" fontId="22" fillId="0" borderId="0" xfId="0" applyNumberFormat="1" applyFont="1" applyAlignment="1">
      <alignment horizontal="justify" vertical="center"/>
    </xf>
    <xf numFmtId="190" fontId="2" fillId="3" borderId="1" xfId="2" applyNumberFormat="1" applyFont="1" applyBorder="1" applyAlignment="1">
      <alignment horizontal="left"/>
    </xf>
    <xf numFmtId="0" fontId="24" fillId="0" borderId="0" xfId="3" applyFont="1">
      <alignment vertical="center"/>
    </xf>
    <xf numFmtId="0" fontId="22" fillId="0" borderId="0" xfId="0" applyFont="1" applyAlignment="1">
      <alignment horizontal="justify" vertical="center"/>
    </xf>
    <xf numFmtId="190" fontId="2" fillId="3" borderId="1" xfId="2" applyNumberFormat="1" applyFont="1" applyBorder="1" applyAlignment="1">
      <alignment horizontal="left" wrapText="1"/>
    </xf>
    <xf numFmtId="0" fontId="24" fillId="0" borderId="0" xfId="4" applyFont="1">
      <alignment vertical="center"/>
    </xf>
    <xf numFmtId="10" fontId="2" fillId="0" borderId="1" xfId="5" quotePrefix="1" applyNumberFormat="1" applyFont="1" applyBorder="1" applyAlignment="1">
      <alignment horizontal="left" vertical="top" wrapText="1"/>
    </xf>
    <xf numFmtId="0" fontId="24" fillId="0" borderId="0" xfId="5" applyFont="1" applyAlignment="1">
      <alignment horizontal="left" vertical="center"/>
    </xf>
    <xf numFmtId="0" fontId="28" fillId="0" borderId="0" xfId="0" applyFont="1">
      <alignment vertical="center"/>
    </xf>
    <xf numFmtId="0" fontId="29" fillId="6" borderId="1" xfId="11" applyFont="1" applyFill="1" applyBorder="1" applyAlignment="1" applyProtection="1">
      <alignment vertical="center"/>
    </xf>
    <xf numFmtId="0" fontId="30" fillId="6" borderId="1" xfId="0" applyFont="1" applyFill="1" applyBorder="1">
      <alignment vertical="center"/>
    </xf>
    <xf numFmtId="190" fontId="2" fillId="0" borderId="1" xfId="7" applyNumberFormat="1" applyFont="1" applyBorder="1" applyAlignment="1">
      <alignment horizontal="left" vertical="center"/>
    </xf>
    <xf numFmtId="0" fontId="8" fillId="0" borderId="7" xfId="12" applyFont="1" applyBorder="1" applyAlignment="1">
      <alignment horizontal="center"/>
    </xf>
    <xf numFmtId="0" fontId="11" fillId="0" borderId="7" xfId="12" applyFont="1" applyBorder="1" applyAlignment="1">
      <alignment horizontal="center"/>
    </xf>
    <xf numFmtId="0" fontId="8" fillId="0" borderId="8" xfId="12" applyFont="1" applyBorder="1" applyAlignment="1">
      <alignment horizontal="right" vertical="center" textRotation="255"/>
    </xf>
    <xf numFmtId="0" fontId="11" fillId="0" borderId="8" xfId="12" applyFont="1" applyBorder="1" applyAlignment="1">
      <alignment horizontal="right" vertical="center" textRotation="255"/>
    </xf>
  </cellXfs>
  <cellStyles count="13">
    <cellStyle name="GreyOrWhite" xfId="1"/>
    <cellStyle name="Yellow" xfId="2"/>
    <cellStyle name="常规" xfId="0" builtinId="0"/>
    <cellStyle name="常规_accrint" xfId="3"/>
    <cellStyle name="常规_accrintm" xfId="4"/>
    <cellStyle name="常规_CH9-2" xfId="5"/>
    <cellStyle name="常规_CH9-3" xfId="6"/>
    <cellStyle name="常规_CH9-4" xfId="7"/>
    <cellStyle name="常规_CH9-5" xfId="8"/>
    <cellStyle name="常规_CH9-6" xfId="9"/>
    <cellStyle name="常规_DB" xfId="10"/>
    <cellStyle name="超链接" xfId="11" builtinId="8"/>
    <cellStyle name="一般_Marketing Campaign Budget" xfId="1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ntrol" Target="../activeX/activeX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topLeftCell="A9" workbookViewId="0">
      <selection activeCell="G11" sqref="G11"/>
    </sheetView>
  </sheetViews>
  <sheetFormatPr defaultRowHeight="13.2"/>
  <cols>
    <col min="2" max="2" width="17.5546875" customWidth="1"/>
  </cols>
  <sheetData>
    <row r="1" spans="1:4" ht="25.8">
      <c r="A1" s="212" t="s">
        <v>203</v>
      </c>
    </row>
    <row r="4" spans="1:4" ht="15.6">
      <c r="B4" s="214" t="s">
        <v>204</v>
      </c>
      <c r="C4" s="213" t="s">
        <v>215</v>
      </c>
      <c r="D4" s="214"/>
    </row>
    <row r="5" spans="1:4" ht="15.6">
      <c r="B5" s="214" t="s">
        <v>205</v>
      </c>
      <c r="C5" s="213" t="s">
        <v>216</v>
      </c>
      <c r="D5" s="213" t="s">
        <v>217</v>
      </c>
    </row>
    <row r="6" spans="1:4" ht="15.6">
      <c r="B6" s="214" t="s">
        <v>206</v>
      </c>
      <c r="C6" s="213" t="s">
        <v>215</v>
      </c>
      <c r="D6" s="214"/>
    </row>
    <row r="7" spans="1:4" ht="15.6">
      <c r="B7" s="214" t="s">
        <v>207</v>
      </c>
      <c r="C7" s="213" t="s">
        <v>215</v>
      </c>
      <c r="D7" s="214"/>
    </row>
    <row r="8" spans="1:4" ht="15.6">
      <c r="B8" s="214" t="s">
        <v>218</v>
      </c>
      <c r="C8" s="213" t="s">
        <v>215</v>
      </c>
      <c r="D8" s="214"/>
    </row>
    <row r="9" spans="1:4" ht="15.6">
      <c r="B9" s="214" t="s">
        <v>219</v>
      </c>
      <c r="C9" s="213" t="s">
        <v>215</v>
      </c>
      <c r="D9" s="214"/>
    </row>
    <row r="10" spans="1:4" ht="15.6">
      <c r="B10" s="214" t="s">
        <v>208</v>
      </c>
      <c r="C10" s="213" t="s">
        <v>215</v>
      </c>
      <c r="D10" s="214"/>
    </row>
    <row r="11" spans="1:4" ht="15.6">
      <c r="B11" s="214" t="s">
        <v>135</v>
      </c>
      <c r="C11" s="213" t="s">
        <v>216</v>
      </c>
      <c r="D11" s="213" t="s">
        <v>217</v>
      </c>
    </row>
    <row r="12" spans="1:4" ht="15.6">
      <c r="B12" s="214" t="s">
        <v>179</v>
      </c>
      <c r="C12" s="213" t="s">
        <v>215</v>
      </c>
      <c r="D12" s="214"/>
    </row>
    <row r="13" spans="1:4" ht="15.6">
      <c r="B13" s="214" t="s">
        <v>209</v>
      </c>
      <c r="C13" s="213" t="s">
        <v>215</v>
      </c>
      <c r="D13" s="214"/>
    </row>
    <row r="14" spans="1:4" ht="15.6">
      <c r="B14" s="214" t="s">
        <v>210</v>
      </c>
      <c r="C14" s="213" t="s">
        <v>215</v>
      </c>
      <c r="D14" s="214"/>
    </row>
    <row r="15" spans="1:4" ht="15.6">
      <c r="B15" s="214" t="s">
        <v>211</v>
      </c>
      <c r="C15" s="213" t="s">
        <v>215</v>
      </c>
      <c r="D15" s="214"/>
    </row>
    <row r="16" spans="1:4" ht="15.6">
      <c r="B16" s="214" t="s">
        <v>212</v>
      </c>
      <c r="C16" s="213" t="s">
        <v>215</v>
      </c>
      <c r="D16" s="214"/>
    </row>
    <row r="17" spans="2:4" ht="15.6">
      <c r="B17" s="214" t="s">
        <v>213</v>
      </c>
      <c r="C17" s="213" t="s">
        <v>215</v>
      </c>
      <c r="D17" s="214"/>
    </row>
    <row r="18" spans="2:4" ht="15.6">
      <c r="B18" s="214" t="s">
        <v>82</v>
      </c>
      <c r="C18" s="213" t="s">
        <v>215</v>
      </c>
      <c r="D18" s="214"/>
    </row>
    <row r="19" spans="2:4" ht="15.6">
      <c r="B19" s="214" t="s">
        <v>220</v>
      </c>
      <c r="C19" s="213" t="s">
        <v>215</v>
      </c>
      <c r="D19" s="214"/>
    </row>
    <row r="20" spans="2:4" ht="15.6">
      <c r="B20" s="214" t="s">
        <v>214</v>
      </c>
      <c r="C20" s="213" t="s">
        <v>215</v>
      </c>
      <c r="D20" s="214"/>
    </row>
  </sheetData>
  <phoneticPr fontId="15" type="noConversion"/>
  <hyperlinks>
    <hyperlink ref="C4" location="FV!A1" display="实例"/>
    <hyperlink ref="C5" location="PMT1!A1" display="实例1"/>
    <hyperlink ref="D5" location="PMT2!A1" display="实例2"/>
    <hyperlink ref="C6" location="PV!A1" display="实例"/>
    <hyperlink ref="C7" location="NPER!A1" display="实例"/>
    <hyperlink ref="C8" location="IPMT、PPMT!A1" display="实例"/>
    <hyperlink ref="C9" location="CUMPRINC!A1" display="实例"/>
    <hyperlink ref="C10" location="SLN!A1" display="实例"/>
    <hyperlink ref="C11" location="'DB1'!A1" display="实例1"/>
    <hyperlink ref="D11" location="'DB2'!A1" display="实例2"/>
    <hyperlink ref="C12" location="DDB!A1" display="实例"/>
    <hyperlink ref="C13" location="VDB!A1" display="实例"/>
    <hyperlink ref="C14" location="SYD!A1" display="实例"/>
    <hyperlink ref="C15" location="NPV!A1" display="实例"/>
    <hyperlink ref="C16" location="IRR!A1" display="实例"/>
    <hyperlink ref="C17" location="RATE!A1" display="实例"/>
    <hyperlink ref="C18" location="ACCRINT!A1" display="实例"/>
    <hyperlink ref="C19" location="ACCRINTM!A1" display="实例"/>
    <hyperlink ref="C20" location="DISC!A1" display="实例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I17"/>
  <sheetViews>
    <sheetView topLeftCell="A7" workbookViewId="0">
      <selection activeCell="B26" sqref="B26"/>
    </sheetView>
  </sheetViews>
  <sheetFormatPr defaultColWidth="9.109375" defaultRowHeight="12"/>
  <cols>
    <col min="1" max="1" width="15.44140625" style="146" bestFit="1" customWidth="1"/>
    <col min="2" max="2" width="28.6640625" style="146" customWidth="1"/>
    <col min="3" max="3" width="15.88671875" style="146" customWidth="1"/>
    <col min="4" max="4" width="11.88671875" style="146" customWidth="1"/>
    <col min="5" max="5" width="18.88671875" style="146" customWidth="1"/>
    <col min="6" max="6" width="14.44140625" style="146" customWidth="1"/>
    <col min="7" max="7" width="12" style="146" customWidth="1"/>
    <col min="8" max="8" width="19.109375" style="146" bestFit="1" customWidth="1"/>
    <col min="9" max="9" width="12.33203125" style="146" bestFit="1" customWidth="1"/>
    <col min="10" max="16384" width="9.109375" style="146"/>
  </cols>
  <sheetData>
    <row r="1" spans="1:9" ht="17.399999999999999">
      <c r="A1" s="186" t="s">
        <v>135</v>
      </c>
      <c r="B1" s="184"/>
      <c r="C1" s="184"/>
      <c r="D1" s="184"/>
      <c r="E1" s="184"/>
      <c r="F1" s="185"/>
      <c r="G1" s="184"/>
      <c r="H1" s="184"/>
      <c r="I1" s="184"/>
    </row>
    <row r="2" spans="1:9" ht="17.399999999999999">
      <c r="A2" s="184"/>
      <c r="B2" s="184"/>
      <c r="C2" s="184"/>
      <c r="D2" s="184"/>
      <c r="E2" s="184"/>
      <c r="F2" s="185"/>
      <c r="G2" s="184"/>
      <c r="H2" s="184"/>
      <c r="I2" s="184"/>
    </row>
    <row r="3" spans="1:9" ht="13.2">
      <c r="A3" s="157" t="s">
        <v>0</v>
      </c>
      <c r="B3" s="157" t="s">
        <v>1</v>
      </c>
    </row>
    <row r="4" spans="1:9" ht="13.2">
      <c r="A4" s="188">
        <v>1000000</v>
      </c>
      <c r="B4" s="180" t="s">
        <v>101</v>
      </c>
    </row>
    <row r="5" spans="1:9" ht="13.2">
      <c r="A5" s="188">
        <v>100000</v>
      </c>
      <c r="B5" s="180" t="s">
        <v>102</v>
      </c>
    </row>
    <row r="6" spans="1:9" ht="13.2">
      <c r="A6" s="189">
        <v>15</v>
      </c>
      <c r="B6" s="181" t="s">
        <v>103</v>
      </c>
    </row>
    <row r="7" spans="1:9" ht="13.2">
      <c r="A7" s="178"/>
      <c r="B7" s="179"/>
    </row>
    <row r="8" spans="1:9">
      <c r="A8" s="187" t="s">
        <v>134</v>
      </c>
      <c r="B8" s="187" t="s">
        <v>136</v>
      </c>
    </row>
    <row r="9" spans="1:9" ht="13.2">
      <c r="A9" s="190">
        <f>DB(A4,A5,A6,1,6)</f>
        <v>71000</v>
      </c>
      <c r="B9" s="191" t="s">
        <v>142</v>
      </c>
      <c r="C9" s="192" t="s">
        <v>137</v>
      </c>
      <c r="E9" s="151"/>
    </row>
    <row r="10" spans="1:9" ht="13.8">
      <c r="A10" s="190">
        <f>DB(A4,A5,A6,2)</f>
        <v>121835.99999999999</v>
      </c>
      <c r="B10" s="182" t="s">
        <v>131</v>
      </c>
      <c r="C10" s="192" t="s">
        <v>138</v>
      </c>
      <c r="E10" s="160"/>
    </row>
    <row r="11" spans="1:9" ht="13.2">
      <c r="A11" s="190">
        <f>DB(A4,A5,A6,3)</f>
        <v>104535.28799999999</v>
      </c>
      <c r="B11" s="182" t="s">
        <v>130</v>
      </c>
      <c r="C11" s="192" t="s">
        <v>139</v>
      </c>
      <c r="E11" s="151"/>
    </row>
    <row r="12" spans="1:9" ht="13.2">
      <c r="A12" s="190">
        <f>DB(A4,A5,A6,4)</f>
        <v>89691.277103999993</v>
      </c>
      <c r="B12" s="182" t="s">
        <v>132</v>
      </c>
      <c r="C12" s="192" t="s">
        <v>140</v>
      </c>
      <c r="E12" s="151"/>
    </row>
    <row r="13" spans="1:9" ht="13.2">
      <c r="A13" s="190">
        <f>DB(A4,A5,A6,5)</f>
        <v>76955.115755232007</v>
      </c>
      <c r="B13" s="182" t="s">
        <v>133</v>
      </c>
      <c r="C13" s="192" t="s">
        <v>141</v>
      </c>
      <c r="E13" s="151"/>
    </row>
    <row r="14" spans="1:9" ht="13.2">
      <c r="A14" s="190">
        <f>DB(A4,A5,A6,6)</f>
        <v>66027.489317989064</v>
      </c>
      <c r="B14" s="191" t="s">
        <v>143</v>
      </c>
      <c r="C14" s="192" t="s">
        <v>144</v>
      </c>
      <c r="E14" s="151"/>
    </row>
    <row r="17" spans="1:3" ht="13.2">
      <c r="A17" s="158"/>
      <c r="B17" s="159"/>
      <c r="C17" s="159"/>
    </row>
  </sheetData>
  <phoneticPr fontId="15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2"/>
  <sheetViews>
    <sheetView workbookViewId="0">
      <selection activeCell="D26" sqref="D26"/>
    </sheetView>
  </sheetViews>
  <sheetFormatPr defaultColWidth="9.109375" defaultRowHeight="12"/>
  <cols>
    <col min="1" max="1" width="8.44140625" style="146" customWidth="1"/>
    <col min="2" max="2" width="10.33203125" style="146" customWidth="1"/>
    <col min="3" max="3" width="25.6640625" style="146" customWidth="1"/>
    <col min="4" max="4" width="12" style="146" customWidth="1"/>
    <col min="5" max="5" width="25.5546875" style="146" customWidth="1"/>
    <col min="6" max="6" width="9.33203125" style="146" customWidth="1"/>
    <col min="7" max="7" width="11.88671875" style="146" customWidth="1"/>
    <col min="8" max="8" width="19.33203125" style="146" customWidth="1"/>
    <col min="9" max="9" width="14.44140625" style="146" customWidth="1"/>
    <col min="10" max="10" width="12" style="146" customWidth="1"/>
    <col min="11" max="11" width="19.109375" style="146" bestFit="1" customWidth="1"/>
    <col min="12" max="12" width="12.33203125" style="146" bestFit="1" customWidth="1"/>
    <col min="13" max="16384" width="9.109375" style="146"/>
  </cols>
  <sheetData>
    <row r="1" spans="1:12" ht="17.399999999999999">
      <c r="A1" s="186" t="s">
        <v>145</v>
      </c>
      <c r="B1" s="184"/>
      <c r="C1" s="184"/>
      <c r="D1" s="184"/>
      <c r="E1" s="184"/>
      <c r="F1" s="184"/>
      <c r="G1" s="184"/>
      <c r="H1" s="184"/>
      <c r="I1" s="185"/>
      <c r="J1" s="184"/>
      <c r="K1" s="184"/>
      <c r="L1" s="184"/>
    </row>
    <row r="2" spans="1:12" ht="23.25" customHeight="1">
      <c r="A2" s="152" t="s">
        <v>154</v>
      </c>
    </row>
    <row r="3" spans="1:12" ht="13.2">
      <c r="C3"/>
      <c r="D3"/>
      <c r="E3"/>
      <c r="I3" s="155"/>
    </row>
    <row r="4" spans="1:12" ht="13.2">
      <c r="A4" s="153" t="s">
        <v>146</v>
      </c>
      <c r="B4" s="194">
        <v>5000</v>
      </c>
      <c r="C4"/>
      <c r="D4"/>
      <c r="E4"/>
      <c r="G4" s="156"/>
    </row>
    <row r="5" spans="1:12" ht="13.2">
      <c r="A5" s="153" t="s">
        <v>147</v>
      </c>
      <c r="B5" s="194">
        <v>1000</v>
      </c>
      <c r="C5"/>
      <c r="D5"/>
      <c r="E5"/>
    </row>
    <row r="6" spans="1:12" ht="25.2">
      <c r="A6" s="153" t="s">
        <v>148</v>
      </c>
      <c r="B6" s="148">
        <v>5</v>
      </c>
      <c r="C6"/>
      <c r="D6"/>
      <c r="E6"/>
      <c r="F6" s="187" t="s">
        <v>172</v>
      </c>
      <c r="G6" s="193">
        <f>1-((B5/B4)^(1/B6))</f>
        <v>0.27522033632230447</v>
      </c>
      <c r="H6" s="192" t="s">
        <v>160</v>
      </c>
    </row>
    <row r="7" spans="1:12" ht="13.2">
      <c r="A7" s="149"/>
      <c r="C7"/>
      <c r="D7"/>
      <c r="E7"/>
    </row>
    <row r="8" spans="1:12" ht="26.25" customHeight="1">
      <c r="A8" s="154" t="s">
        <v>149</v>
      </c>
      <c r="B8" s="157" t="s">
        <v>150</v>
      </c>
      <c r="C8"/>
      <c r="D8" s="157" t="s">
        <v>152</v>
      </c>
      <c r="F8" s="157" t="s">
        <v>151</v>
      </c>
    </row>
    <row r="9" spans="1:12" ht="13.2">
      <c r="A9" s="150">
        <v>1</v>
      </c>
      <c r="B9" s="195">
        <f>DB($B$4,$B$5,$B$6,A9)</f>
        <v>1375</v>
      </c>
      <c r="C9" s="198" t="s">
        <v>162</v>
      </c>
      <c r="D9" s="193">
        <f>B9/B4</f>
        <v>0.27500000000000002</v>
      </c>
      <c r="E9" s="192" t="s">
        <v>155</v>
      </c>
      <c r="F9" s="195">
        <f>B4*G6</f>
        <v>1376.1016816115223</v>
      </c>
      <c r="G9" s="192" t="s">
        <v>167</v>
      </c>
    </row>
    <row r="10" spans="1:12" ht="13.2">
      <c r="A10" s="150">
        <v>2</v>
      </c>
      <c r="B10" s="195">
        <f>DB($B$4,$B$5,$B$6,A10)</f>
        <v>996.87500000000011</v>
      </c>
      <c r="C10" s="198" t="s">
        <v>163</v>
      </c>
      <c r="D10" s="193">
        <f>B10/($B$4-SUM($B$9:B9))</f>
        <v>0.27500000000000002</v>
      </c>
      <c r="E10" s="192" t="s">
        <v>156</v>
      </c>
      <c r="F10" s="195">
        <f>($B$4-SUM($F$9:F9))*$G$6</f>
        <v>997.37051398471033</v>
      </c>
      <c r="G10" s="192" t="s">
        <v>168</v>
      </c>
    </row>
    <row r="11" spans="1:12" ht="13.2">
      <c r="A11" s="150">
        <v>3</v>
      </c>
      <c r="B11" s="195">
        <f>DB($B$4,$B$5,$B$6,A11)</f>
        <v>722.73437500000011</v>
      </c>
      <c r="C11" s="198" t="s">
        <v>164</v>
      </c>
      <c r="D11" s="193">
        <f>B11/($B$4-SUM($B$9:B10))</f>
        <v>0.27500000000000002</v>
      </c>
      <c r="E11" s="192" t="s">
        <v>157</v>
      </c>
      <c r="F11" s="195">
        <f>($B$4-SUM($F$9:F10))*$G$6</f>
        <v>722.87386568788872</v>
      </c>
      <c r="G11" s="192" t="s">
        <v>169</v>
      </c>
    </row>
    <row r="12" spans="1:12" ht="13.2">
      <c r="A12" s="150">
        <v>4</v>
      </c>
      <c r="B12" s="195">
        <f>DB($B$4,$B$5,$B$6,A12)</f>
        <v>523.982421875</v>
      </c>
      <c r="C12" s="198" t="s">
        <v>165</v>
      </c>
      <c r="D12" s="193">
        <f>B12/($B$4-SUM($B$9:B11))</f>
        <v>0.27500000000000002</v>
      </c>
      <c r="E12" s="192" t="s">
        <v>158</v>
      </c>
      <c r="F12" s="195">
        <f>($B$4-SUM($F$9:F11))*$G$6</f>
        <v>523.92427725466371</v>
      </c>
      <c r="G12" s="192" t="s">
        <v>170</v>
      </c>
    </row>
    <row r="13" spans="1:12" ht="13.2">
      <c r="A13" s="150">
        <v>5</v>
      </c>
      <c r="B13" s="195">
        <f>DB($B$4,$B$5,$B$6,A13)</f>
        <v>379.88725585937505</v>
      </c>
      <c r="C13" s="198" t="s">
        <v>166</v>
      </c>
      <c r="D13" s="193">
        <f>B13/($B$4-SUM($B$9:B12))</f>
        <v>0.27500000000000002</v>
      </c>
      <c r="E13" s="192" t="s">
        <v>159</v>
      </c>
      <c r="F13" s="195">
        <f>($B$4-SUM($F$9:F12))*$G$6</f>
        <v>379.7296614612149</v>
      </c>
      <c r="G13" s="192" t="s">
        <v>171</v>
      </c>
    </row>
    <row r="14" spans="1:12">
      <c r="B14" s="196"/>
      <c r="C14" s="196"/>
      <c r="D14" s="196"/>
      <c r="E14" s="196"/>
      <c r="F14" s="196"/>
    </row>
    <row r="15" spans="1:12" ht="13.2">
      <c r="A15" s="153" t="s">
        <v>153</v>
      </c>
      <c r="B15" s="197">
        <f>SUM(B9:B13)</f>
        <v>3998.4790527343748</v>
      </c>
      <c r="C15"/>
      <c r="D15"/>
      <c r="E15"/>
      <c r="F15" s="197">
        <f>SUM(F9:F13)</f>
        <v>4000</v>
      </c>
      <c r="J15" s="177" t="s">
        <v>160</v>
      </c>
    </row>
    <row r="16" spans="1:12">
      <c r="B16" s="152"/>
      <c r="C16" s="152"/>
      <c r="D16" s="152"/>
      <c r="E16" s="152"/>
      <c r="F16" s="152"/>
    </row>
    <row r="17" spans="1:6" ht="13.2">
      <c r="A17" s="147"/>
      <c r="B17" s="153" t="s">
        <v>161</v>
      </c>
      <c r="C17" s="197">
        <f>F15-B15</f>
        <v>1.5209472656251819</v>
      </c>
      <c r="D17"/>
      <c r="E17"/>
      <c r="F17"/>
    </row>
    <row r="20" spans="1:6" ht="13.8">
      <c r="A20" s="158"/>
      <c r="B20" s="159"/>
      <c r="C20" s="159"/>
      <c r="D20" s="159"/>
      <c r="E20" s="172"/>
      <c r="F20" s="159"/>
    </row>
    <row r="22" spans="1:6" ht="13.8">
      <c r="D22" s="161"/>
      <c r="E22" s="172"/>
    </row>
  </sheetData>
  <phoneticPr fontId="15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16"/>
  <sheetViews>
    <sheetView workbookViewId="0">
      <selection activeCell="C29" sqref="C29"/>
    </sheetView>
  </sheetViews>
  <sheetFormatPr defaultColWidth="9.109375" defaultRowHeight="12"/>
  <cols>
    <col min="1" max="1" width="15.44140625" style="146" bestFit="1" customWidth="1"/>
    <col min="2" max="2" width="28.6640625" style="146" customWidth="1"/>
    <col min="3" max="3" width="15.88671875" style="146" customWidth="1"/>
    <col min="4" max="4" width="11.88671875" style="146" customWidth="1"/>
    <col min="5" max="5" width="18.88671875" style="146" customWidth="1"/>
    <col min="6" max="6" width="14.44140625" style="146" customWidth="1"/>
    <col min="7" max="7" width="12" style="146" customWidth="1"/>
    <col min="8" max="8" width="19.109375" style="146" bestFit="1" customWidth="1"/>
    <col min="9" max="9" width="12.33203125" style="146" bestFit="1" customWidth="1"/>
    <col min="10" max="16384" width="9.109375" style="146"/>
  </cols>
  <sheetData>
    <row r="1" spans="1:9" ht="17.399999999999999">
      <c r="A1" s="186" t="s">
        <v>179</v>
      </c>
      <c r="B1" s="184"/>
      <c r="C1" s="184"/>
      <c r="D1" s="184"/>
      <c r="E1" s="184"/>
      <c r="F1" s="185"/>
      <c r="G1" s="184"/>
      <c r="H1" s="184"/>
      <c r="I1" s="184"/>
    </row>
    <row r="2" spans="1:9" ht="17.399999999999999">
      <c r="A2" s="184"/>
      <c r="B2" s="184"/>
      <c r="C2" s="184"/>
      <c r="D2" s="184"/>
      <c r="E2" s="184"/>
      <c r="F2" s="185"/>
      <c r="G2" s="184"/>
      <c r="H2" s="184"/>
      <c r="I2" s="184"/>
    </row>
    <row r="3" spans="1:9" ht="13.2">
      <c r="A3" s="157" t="s">
        <v>0</v>
      </c>
      <c r="B3" s="157" t="s">
        <v>1</v>
      </c>
    </row>
    <row r="4" spans="1:9" ht="13.2">
      <c r="A4" s="188">
        <v>200000</v>
      </c>
      <c r="B4" s="182" t="s">
        <v>101</v>
      </c>
    </row>
    <row r="5" spans="1:9" ht="13.2">
      <c r="A5" s="188">
        <v>8000</v>
      </c>
      <c r="B5" s="182" t="s">
        <v>102</v>
      </c>
    </row>
    <row r="6" spans="1:9" ht="13.2">
      <c r="A6" s="189">
        <v>5</v>
      </c>
      <c r="B6" s="183" t="s">
        <v>103</v>
      </c>
    </row>
    <row r="7" spans="1:9" ht="13.2">
      <c r="A7" s="178"/>
      <c r="B7" s="179"/>
    </row>
    <row r="8" spans="1:9">
      <c r="A8" s="187" t="s">
        <v>173</v>
      </c>
      <c r="B8" s="187" t="s">
        <v>174</v>
      </c>
    </row>
    <row r="9" spans="1:9" ht="13.2">
      <c r="A9" s="190">
        <f>DDB(A4,A5,A6,1)</f>
        <v>80000</v>
      </c>
      <c r="B9" s="191" t="s">
        <v>180</v>
      </c>
      <c r="C9" s="192" t="s">
        <v>181</v>
      </c>
      <c r="E9" s="151"/>
    </row>
    <row r="10" spans="1:9" ht="13.8">
      <c r="A10" s="190">
        <f>DDB(A4,A5,A6,2)</f>
        <v>48000</v>
      </c>
      <c r="B10" s="182" t="s">
        <v>175</v>
      </c>
      <c r="C10" s="192" t="s">
        <v>182</v>
      </c>
      <c r="E10" s="160"/>
    </row>
    <row r="11" spans="1:9" ht="13.2">
      <c r="A11" s="190">
        <f>DDB(A4,A5,A6,3)</f>
        <v>28800</v>
      </c>
      <c r="B11" s="182" t="s">
        <v>176</v>
      </c>
      <c r="C11" s="192" t="s">
        <v>183</v>
      </c>
      <c r="E11" s="151"/>
    </row>
    <row r="12" spans="1:9" ht="13.2">
      <c r="A12" s="190">
        <f>DDB(A4,A5,A6,4)</f>
        <v>17280</v>
      </c>
      <c r="B12" s="182" t="s">
        <v>177</v>
      </c>
      <c r="C12" s="192" t="s">
        <v>184</v>
      </c>
      <c r="E12" s="151"/>
    </row>
    <row r="13" spans="1:9" ht="13.5" customHeight="1">
      <c r="A13" s="190">
        <f>DDB(A4,A5,A6,5)</f>
        <v>10368</v>
      </c>
      <c r="B13" s="182" t="s">
        <v>178</v>
      </c>
      <c r="C13" s="192" t="s">
        <v>185</v>
      </c>
      <c r="E13" s="151"/>
    </row>
    <row r="16" spans="1:9" ht="13.2">
      <c r="A16" s="158"/>
      <c r="B16" s="159"/>
      <c r="C16" s="159"/>
    </row>
  </sheetData>
  <phoneticPr fontId="15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7"/>
  <dimension ref="A1:C18"/>
  <sheetViews>
    <sheetView workbookViewId="0">
      <selection activeCell="C29" sqref="C29"/>
    </sheetView>
  </sheetViews>
  <sheetFormatPr defaultColWidth="10.33203125" defaultRowHeight="13.2"/>
  <cols>
    <col min="1" max="1" width="14.5546875" style="28" customWidth="1"/>
    <col min="2" max="2" width="47.5546875" style="28" customWidth="1"/>
    <col min="3" max="3" width="27.109375" style="28" customWidth="1"/>
    <col min="4" max="4" width="17.33203125" style="28" customWidth="1"/>
    <col min="5" max="16384" width="10.33203125" style="28"/>
  </cols>
  <sheetData>
    <row r="1" spans="1:3" ht="15.6">
      <c r="A1" s="37" t="s">
        <v>98</v>
      </c>
      <c r="B1" s="35"/>
    </row>
    <row r="2" spans="1:3" ht="19.5" customHeight="1">
      <c r="A2"/>
      <c r="B2" s="27"/>
      <c r="C2" s="35"/>
    </row>
    <row r="3" spans="1:3">
      <c r="A3" s="137" t="s">
        <v>0</v>
      </c>
      <c r="B3" s="137" t="s">
        <v>1</v>
      </c>
      <c r="C3" s="29"/>
    </row>
    <row r="4" spans="1:3">
      <c r="A4" s="138">
        <v>60000</v>
      </c>
      <c r="B4" s="139" t="s">
        <v>94</v>
      </c>
      <c r="C4" s="29"/>
    </row>
    <row r="5" spans="1:3">
      <c r="A5" s="138">
        <v>10000</v>
      </c>
      <c r="B5" s="139" t="s">
        <v>95</v>
      </c>
      <c r="C5" s="29"/>
    </row>
    <row r="6" spans="1:3">
      <c r="A6" s="138">
        <v>5</v>
      </c>
      <c r="B6" s="139" t="s">
        <v>96</v>
      </c>
      <c r="C6" s="29"/>
    </row>
    <row r="7" spans="1:3">
      <c r="A7" s="140"/>
      <c r="B7" s="141"/>
      <c r="C7" s="29"/>
    </row>
    <row r="8" spans="1:3">
      <c r="A8" s="142" t="s">
        <v>3</v>
      </c>
      <c r="B8" s="142" t="s">
        <v>1</v>
      </c>
    </row>
    <row r="9" spans="1:3">
      <c r="A9" s="199">
        <f>VDB(A4, A5, A6*365, 0, 1)</f>
        <v>65.753424657534239</v>
      </c>
      <c r="B9" s="139" t="s">
        <v>97</v>
      </c>
      <c r="C9" s="200" t="s">
        <v>190</v>
      </c>
    </row>
    <row r="10" spans="1:3">
      <c r="A10" s="199">
        <f>VDB(A4, A5, A6*12, 0, 1)</f>
        <v>2000</v>
      </c>
      <c r="B10" s="139" t="s">
        <v>30</v>
      </c>
      <c r="C10" s="200" t="s">
        <v>186</v>
      </c>
    </row>
    <row r="11" spans="1:3">
      <c r="A11" s="199">
        <f>VDB(A4, A5, A6, 0, 1)</f>
        <v>24000</v>
      </c>
      <c r="B11" s="139" t="s">
        <v>31</v>
      </c>
      <c r="C11" s="200" t="s">
        <v>187</v>
      </c>
    </row>
    <row r="12" spans="1:3">
      <c r="A12" s="199">
        <f>VDB(A4, A5, A6*12, 6,10)</f>
        <v>6208.3683086723559</v>
      </c>
      <c r="B12" s="139" t="s">
        <v>32</v>
      </c>
      <c r="C12" s="200" t="s">
        <v>188</v>
      </c>
    </row>
    <row r="13" spans="1:3" ht="25.2">
      <c r="A13" s="199">
        <f>VDB(A4, A5, A6*12, 7, 16, 1.5)</f>
        <v>10240.285504495812</v>
      </c>
      <c r="B13" s="139" t="s">
        <v>33</v>
      </c>
      <c r="C13" s="200" t="s">
        <v>189</v>
      </c>
    </row>
    <row r="18" spans="2:2" ht="13.8">
      <c r="B18" s="161"/>
    </row>
  </sheetData>
  <phoneticPr fontId="6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20"/>
  <sheetViews>
    <sheetView workbookViewId="0">
      <selection activeCell="E32" sqref="E32"/>
    </sheetView>
  </sheetViews>
  <sheetFormatPr defaultColWidth="10.33203125" defaultRowHeight="13.2"/>
  <cols>
    <col min="1" max="1" width="16.88671875" style="28" customWidth="1"/>
    <col min="2" max="2" width="26.5546875" style="28" customWidth="1"/>
    <col min="3" max="3" width="29.5546875" style="28" customWidth="1"/>
    <col min="4" max="16384" width="10.33203125" style="28"/>
  </cols>
  <sheetData>
    <row r="1" spans="1:3" ht="15.6">
      <c r="A1" s="37" t="s">
        <v>99</v>
      </c>
      <c r="B1"/>
    </row>
    <row r="2" spans="1:3">
      <c r="A2"/>
      <c r="B2"/>
    </row>
    <row r="3" spans="1:3">
      <c r="A3" s="137" t="s">
        <v>0</v>
      </c>
      <c r="B3" s="137" t="s">
        <v>1</v>
      </c>
    </row>
    <row r="4" spans="1:3">
      <c r="A4" s="143">
        <v>50000</v>
      </c>
      <c r="B4" s="139" t="s">
        <v>94</v>
      </c>
    </row>
    <row r="5" spans="1:3">
      <c r="A5" s="143">
        <v>2000</v>
      </c>
      <c r="B5" s="139" t="s">
        <v>95</v>
      </c>
    </row>
    <row r="6" spans="1:3">
      <c r="A6" s="144">
        <v>5</v>
      </c>
      <c r="B6" s="139" t="s">
        <v>96</v>
      </c>
    </row>
    <row r="7" spans="1:3">
      <c r="A7" s="140"/>
      <c r="B7" s="141"/>
    </row>
    <row r="8" spans="1:3">
      <c r="A8" s="137" t="s">
        <v>3</v>
      </c>
      <c r="B8" s="137" t="s">
        <v>1</v>
      </c>
    </row>
    <row r="9" spans="1:3">
      <c r="A9" s="201">
        <f>SYD(A4,A5,A6,1)</f>
        <v>16000</v>
      </c>
      <c r="B9" s="139" t="s">
        <v>20</v>
      </c>
      <c r="C9" s="200" t="s">
        <v>195</v>
      </c>
    </row>
    <row r="10" spans="1:3">
      <c r="A10" s="201">
        <f>SYD(A4,A5,A6,2)</f>
        <v>12800</v>
      </c>
      <c r="B10" s="139" t="s">
        <v>21</v>
      </c>
      <c r="C10" s="200" t="s">
        <v>191</v>
      </c>
    </row>
    <row r="11" spans="1:3">
      <c r="A11" s="201">
        <f>SYD(A4,A5,A6,3)</f>
        <v>9600</v>
      </c>
      <c r="B11" s="139" t="s">
        <v>22</v>
      </c>
      <c r="C11" s="200" t="s">
        <v>192</v>
      </c>
    </row>
    <row r="12" spans="1:3">
      <c r="A12" s="201">
        <f>SYD(A4,A5,A6,4)</f>
        <v>6400</v>
      </c>
      <c r="B12" s="139" t="s">
        <v>23</v>
      </c>
      <c r="C12" s="200" t="s">
        <v>193</v>
      </c>
    </row>
    <row r="13" spans="1:3">
      <c r="A13" s="201">
        <f>SYD(A4,A5,A6,5)</f>
        <v>3200</v>
      </c>
      <c r="B13" s="139" t="s">
        <v>24</v>
      </c>
      <c r="C13" s="200" t="s">
        <v>194</v>
      </c>
    </row>
    <row r="20" spans="2:2" ht="13.8">
      <c r="B20" s="161"/>
    </row>
  </sheetData>
  <phoneticPr fontId="6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6"/>
  <dimension ref="A1:C28"/>
  <sheetViews>
    <sheetView workbookViewId="0">
      <selection activeCell="C29" sqref="C29"/>
    </sheetView>
  </sheetViews>
  <sheetFormatPr defaultColWidth="10.33203125" defaultRowHeight="13.2"/>
  <cols>
    <col min="1" max="1" width="16.5546875" style="30" customWidth="1"/>
    <col min="2" max="2" width="37" style="30" customWidth="1"/>
    <col min="3" max="3" width="26.33203125" style="30" customWidth="1"/>
    <col min="4" max="16384" width="10.33203125" style="30"/>
  </cols>
  <sheetData>
    <row r="1" spans="1:3" ht="15.6">
      <c r="A1" s="37" t="s">
        <v>45</v>
      </c>
      <c r="B1"/>
    </row>
    <row r="2" spans="1:3">
      <c r="A2"/>
      <c r="B2"/>
    </row>
    <row r="3" spans="1:3">
      <c r="A3" s="39" t="s">
        <v>0</v>
      </c>
      <c r="B3" s="39" t="s">
        <v>1</v>
      </c>
    </row>
    <row r="4" spans="1:3">
      <c r="A4" s="40">
        <v>0.08</v>
      </c>
      <c r="B4" s="41" t="s">
        <v>46</v>
      </c>
    </row>
    <row r="5" spans="1:3">
      <c r="A5" s="42">
        <v>-200000</v>
      </c>
      <c r="B5" s="43" t="s">
        <v>37</v>
      </c>
    </row>
    <row r="6" spans="1:3">
      <c r="A6" s="42">
        <v>20000</v>
      </c>
      <c r="B6" s="43" t="s">
        <v>38</v>
      </c>
    </row>
    <row r="7" spans="1:3">
      <c r="A7" s="42">
        <v>40000</v>
      </c>
      <c r="B7" s="43" t="s">
        <v>39</v>
      </c>
    </row>
    <row r="8" spans="1:3">
      <c r="A8" s="42">
        <v>50000</v>
      </c>
      <c r="B8" s="43" t="s">
        <v>40</v>
      </c>
    </row>
    <row r="9" spans="1:3">
      <c r="A9" s="42">
        <v>80000</v>
      </c>
      <c r="B9" s="43" t="s">
        <v>47</v>
      </c>
    </row>
    <row r="10" spans="1:3">
      <c r="A10" s="42">
        <v>120000</v>
      </c>
      <c r="B10" s="43" t="s">
        <v>48</v>
      </c>
    </row>
    <row r="11" spans="1:3">
      <c r="A11" s="42">
        <v>-40000</v>
      </c>
      <c r="B11" s="43" t="s">
        <v>49</v>
      </c>
    </row>
    <row r="12" spans="1:3">
      <c r="A12" s="44"/>
      <c r="B12" s="45"/>
    </row>
    <row r="13" spans="1:3">
      <c r="A13" s="39" t="s">
        <v>43</v>
      </c>
      <c r="B13" s="39" t="s">
        <v>1</v>
      </c>
    </row>
    <row r="14" spans="1:3">
      <c r="A14" s="202">
        <f>NPV(A4, A6:A10)+A5</f>
        <v>32976.05524936493</v>
      </c>
      <c r="B14" s="38" t="s">
        <v>51</v>
      </c>
      <c r="C14" s="173" t="s">
        <v>196</v>
      </c>
    </row>
    <row r="15" spans="1:3">
      <c r="A15" s="202">
        <f>NPV(A4, A6:A10,A11)+A5</f>
        <v>7769.2701740407501</v>
      </c>
      <c r="B15" s="38" t="s">
        <v>50</v>
      </c>
      <c r="C15" s="173" t="s">
        <v>197</v>
      </c>
    </row>
    <row r="16" spans="1:3">
      <c r="A16" s="34"/>
      <c r="B16" s="34"/>
      <c r="C16" s="33"/>
    </row>
    <row r="17" spans="1:3">
      <c r="A17" s="34"/>
      <c r="B17" s="34"/>
      <c r="C17" s="33"/>
    </row>
    <row r="20" spans="1:3" ht="13.8">
      <c r="B20" s="161"/>
    </row>
    <row r="23" spans="1:3">
      <c r="A23"/>
    </row>
    <row r="24" spans="1:3">
      <c r="A24"/>
    </row>
    <row r="25" spans="1:3">
      <c r="A25"/>
    </row>
    <row r="26" spans="1:3">
      <c r="A26"/>
    </row>
    <row r="27" spans="1:3">
      <c r="A27"/>
    </row>
    <row r="28" spans="1:3">
      <c r="A28"/>
    </row>
  </sheetData>
  <phoneticPr fontId="6" type="noConversion"/>
  <pageMargins left="0.75" right="0.75" top="1" bottom="1" header="0.5" footer="0.5"/>
  <pageSetup paperSize="9" orientation="portrait" horizontalDpi="0" verticalDpi="0" r:id="rId1"/>
  <headerFooter alignWithMargins="0"/>
  <legacyDrawing r:id="rId2"/>
  <controls>
    <control shapeId="1025" r:id="rId3" name="Control 1"/>
  </controls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2"/>
  <dimension ref="A1:E17"/>
  <sheetViews>
    <sheetView workbookViewId="0">
      <selection activeCell="B21" sqref="B21"/>
    </sheetView>
  </sheetViews>
  <sheetFormatPr defaultColWidth="10.33203125" defaultRowHeight="13.2"/>
  <cols>
    <col min="1" max="1" width="21.88671875" style="14" customWidth="1"/>
    <col min="2" max="2" width="30.88671875" style="15" customWidth="1"/>
    <col min="3" max="3" width="27.109375" style="14" customWidth="1"/>
    <col min="4" max="4" width="17.33203125" style="15" customWidth="1"/>
    <col min="5" max="16384" width="10.33203125" style="15"/>
  </cols>
  <sheetData>
    <row r="1" spans="1:5" ht="15.6">
      <c r="A1" s="75" t="s">
        <v>61</v>
      </c>
    </row>
    <row r="2" spans="1:5">
      <c r="A2" s="16"/>
    </row>
    <row r="3" spans="1:5">
      <c r="A3" s="5" t="s">
        <v>0</v>
      </c>
      <c r="B3" s="5" t="s">
        <v>1</v>
      </c>
      <c r="C3"/>
    </row>
    <row r="4" spans="1:5">
      <c r="A4" s="24">
        <v>-500000</v>
      </c>
      <c r="B4" s="7" t="s">
        <v>19</v>
      </c>
      <c r="C4" s="21"/>
      <c r="D4" s="17"/>
      <c r="E4" s="18"/>
    </row>
    <row r="5" spans="1:5">
      <c r="A5" s="24">
        <v>80000</v>
      </c>
      <c r="B5" s="7" t="s">
        <v>10</v>
      </c>
      <c r="C5" s="17"/>
      <c r="D5" s="17"/>
    </row>
    <row r="6" spans="1:5">
      <c r="A6" s="24">
        <v>120000</v>
      </c>
      <c r="B6" s="7" t="s">
        <v>11</v>
      </c>
      <c r="C6" s="17"/>
      <c r="D6" s="17"/>
    </row>
    <row r="7" spans="1:5">
      <c r="A7" s="24">
        <v>150000</v>
      </c>
      <c r="B7" s="7" t="s">
        <v>12</v>
      </c>
      <c r="C7" s="17"/>
      <c r="D7" s="17"/>
    </row>
    <row r="8" spans="1:5">
      <c r="A8" s="24">
        <v>180000</v>
      </c>
      <c r="B8" s="7" t="s">
        <v>13</v>
      </c>
      <c r="C8" s="17"/>
      <c r="D8" s="17"/>
    </row>
    <row r="9" spans="1:5">
      <c r="A9" s="24">
        <v>220000</v>
      </c>
      <c r="B9" s="7" t="s">
        <v>14</v>
      </c>
      <c r="C9" s="17"/>
      <c r="D9" s="17"/>
    </row>
    <row r="10" spans="1:5">
      <c r="A10" s="25"/>
      <c r="B10" s="9"/>
      <c r="C10" s="17"/>
      <c r="D10" s="17"/>
    </row>
    <row r="11" spans="1:5">
      <c r="A11" s="10" t="s">
        <v>3</v>
      </c>
      <c r="B11" s="10" t="s">
        <v>1</v>
      </c>
      <c r="C11" s="17"/>
    </row>
    <row r="12" spans="1:5">
      <c r="A12" s="23">
        <f>IRR(A4:A6)</f>
        <v>-0.4236130541604004</v>
      </c>
      <c r="B12" s="7" t="s">
        <v>15</v>
      </c>
      <c r="C12" s="162" t="s">
        <v>198</v>
      </c>
    </row>
    <row r="13" spans="1:5">
      <c r="A13" s="23">
        <f>IRR(A4:A8)</f>
        <v>2.1032275524778168E-2</v>
      </c>
      <c r="B13" s="7" t="s">
        <v>16</v>
      </c>
      <c r="C13" s="162" t="s">
        <v>199</v>
      </c>
    </row>
    <row r="14" spans="1:5">
      <c r="A14" s="23">
        <f>IRR(A4:A9)</f>
        <v>0.12897433750894188</v>
      </c>
      <c r="B14" s="7" t="s">
        <v>17</v>
      </c>
      <c r="C14" s="203" t="s">
        <v>200</v>
      </c>
    </row>
    <row r="15" spans="1:5">
      <c r="A15" s="22"/>
      <c r="C15" s="20"/>
      <c r="D15" s="19"/>
    </row>
    <row r="16" spans="1:5">
      <c r="C16" s="20"/>
      <c r="D16" s="19"/>
    </row>
    <row r="17" spans="3:4">
      <c r="C17" s="20"/>
      <c r="D17" s="19"/>
    </row>
  </sheetData>
  <phoneticPr fontId="6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3"/>
  <dimension ref="A1:E15"/>
  <sheetViews>
    <sheetView workbookViewId="0">
      <selection activeCell="D27" sqref="D27"/>
    </sheetView>
  </sheetViews>
  <sheetFormatPr defaultColWidth="10.33203125" defaultRowHeight="13.2"/>
  <cols>
    <col min="1" max="1" width="19.44140625" style="26" customWidth="1"/>
    <col min="2" max="2" width="15.5546875" style="26" customWidth="1"/>
    <col min="3" max="3" width="16.6640625" style="26" customWidth="1"/>
    <col min="4" max="4" width="17.33203125" style="26" customWidth="1"/>
    <col min="5" max="5" width="15.44140625" style="26" customWidth="1"/>
    <col min="6" max="16384" width="10.33203125" style="26"/>
  </cols>
  <sheetData>
    <row r="1" spans="1:5" ht="15.6">
      <c r="A1" s="37" t="s">
        <v>62</v>
      </c>
      <c r="B1"/>
    </row>
    <row r="2" spans="1:5">
      <c r="A2"/>
      <c r="B2"/>
    </row>
    <row r="3" spans="1:5">
      <c r="A3" s="69" t="s">
        <v>0</v>
      </c>
      <c r="B3" s="69" t="s">
        <v>1</v>
      </c>
      <c r="D3"/>
      <c r="E3"/>
    </row>
    <row r="4" spans="1:5">
      <c r="A4" s="70">
        <v>5</v>
      </c>
      <c r="B4" s="71" t="s">
        <v>27</v>
      </c>
      <c r="D4"/>
      <c r="E4"/>
    </row>
    <row r="5" spans="1:5">
      <c r="A5" s="70">
        <v>9000</v>
      </c>
      <c r="B5" s="71" t="s">
        <v>63</v>
      </c>
      <c r="D5"/>
      <c r="E5"/>
    </row>
    <row r="6" spans="1:5">
      <c r="A6" s="70">
        <v>-30000</v>
      </c>
      <c r="B6" s="71" t="s">
        <v>25</v>
      </c>
      <c r="D6"/>
      <c r="E6"/>
    </row>
    <row r="7" spans="1:5">
      <c r="A7" s="73"/>
      <c r="B7" s="74"/>
      <c r="D7"/>
      <c r="E7"/>
    </row>
    <row r="8" spans="1:5">
      <c r="A8" s="69" t="s">
        <v>3</v>
      </c>
      <c r="B8" s="69" t="s">
        <v>1</v>
      </c>
      <c r="D8"/>
      <c r="E8"/>
    </row>
    <row r="9" spans="1:5">
      <c r="A9" s="76">
        <f>RATE(A4, A5, A6)</f>
        <v>0.15238237116630651</v>
      </c>
      <c r="B9" s="77" t="s">
        <v>29</v>
      </c>
      <c r="C9" s="171" t="s">
        <v>222</v>
      </c>
      <c r="D9"/>
      <c r="E9"/>
    </row>
    <row r="10" spans="1:5">
      <c r="D10"/>
      <c r="E10"/>
    </row>
    <row r="11" spans="1:5">
      <c r="D11"/>
      <c r="E11"/>
    </row>
    <row r="15" spans="1:5" ht="13.8">
      <c r="C15" s="204"/>
    </row>
  </sheetData>
  <phoneticPr fontId="6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C19"/>
  <sheetViews>
    <sheetView workbookViewId="0">
      <selection activeCell="A13" sqref="A13"/>
    </sheetView>
  </sheetViews>
  <sheetFormatPr defaultColWidth="10.33203125" defaultRowHeight="15.6"/>
  <cols>
    <col min="1" max="1" width="17" style="93" customWidth="1"/>
    <col min="2" max="2" width="32.109375" style="93" customWidth="1"/>
    <col min="3" max="3" width="11.109375" style="93" bestFit="1" customWidth="1"/>
    <col min="4" max="4" width="18.88671875" style="93" customWidth="1"/>
    <col min="5" max="16384" width="10.33203125" style="93"/>
  </cols>
  <sheetData>
    <row r="1" spans="1:3">
      <c r="A1" s="103" t="s">
        <v>82</v>
      </c>
    </row>
    <row r="2" spans="1:3" s="95" customFormat="1" ht="14.25" customHeight="1">
      <c r="A2" s="94"/>
    </row>
    <row r="3" spans="1:3" s="95" customFormat="1" ht="13.2">
      <c r="A3" s="96" t="s">
        <v>0</v>
      </c>
      <c r="B3" s="96" t="s">
        <v>1</v>
      </c>
    </row>
    <row r="4" spans="1:3" s="95" customFormat="1" ht="13.2">
      <c r="A4" s="97">
        <v>38047</v>
      </c>
      <c r="B4" s="98" t="s">
        <v>64</v>
      </c>
    </row>
    <row r="5" spans="1:3" s="95" customFormat="1" ht="13.2">
      <c r="A5" s="97">
        <v>38230</v>
      </c>
      <c r="B5" s="98" t="s">
        <v>73</v>
      </c>
    </row>
    <row r="6" spans="1:3" s="95" customFormat="1" ht="13.2">
      <c r="A6" s="97">
        <v>38108</v>
      </c>
      <c r="B6" s="98" t="s">
        <v>74</v>
      </c>
    </row>
    <row r="7" spans="1:3" s="95" customFormat="1" ht="13.2">
      <c r="A7" s="99">
        <v>0.1</v>
      </c>
      <c r="B7" s="98" t="s">
        <v>75</v>
      </c>
    </row>
    <row r="8" spans="1:3" s="95" customFormat="1" ht="13.2">
      <c r="A8" s="100">
        <v>1000</v>
      </c>
      <c r="B8" s="98" t="s">
        <v>67</v>
      </c>
    </row>
    <row r="9" spans="1:3" s="95" customFormat="1" ht="13.2">
      <c r="A9" s="100">
        <v>2</v>
      </c>
      <c r="B9" s="98" t="s">
        <v>78</v>
      </c>
    </row>
    <row r="10" spans="1:3" s="95" customFormat="1" ht="13.2">
      <c r="A10" s="100">
        <v>0</v>
      </c>
      <c r="B10" s="98" t="s">
        <v>79</v>
      </c>
    </row>
    <row r="11" spans="1:3" s="95" customFormat="1" ht="13.2">
      <c r="A11" s="101"/>
      <c r="B11" s="101"/>
    </row>
    <row r="12" spans="1:3" s="95" customFormat="1" ht="13.2">
      <c r="A12" s="102" t="s">
        <v>81</v>
      </c>
      <c r="B12" s="96" t="s">
        <v>76</v>
      </c>
    </row>
    <row r="13" spans="1:3" s="95" customFormat="1" ht="13.2">
      <c r="A13" s="205">
        <f>ACCRINT(A4,A5,A6,A7,A8,A9,A10)</f>
        <v>16.666666666666664</v>
      </c>
      <c r="B13" s="98" t="s">
        <v>80</v>
      </c>
      <c r="C13" s="206" t="s">
        <v>201</v>
      </c>
    </row>
    <row r="19" spans="2:2">
      <c r="B19" s="172"/>
    </row>
  </sheetData>
  <phoneticPr fontId="15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D16"/>
  <sheetViews>
    <sheetView workbookViewId="0">
      <selection activeCell="D17" sqref="D17"/>
    </sheetView>
  </sheetViews>
  <sheetFormatPr defaultColWidth="10.33203125" defaultRowHeight="15.6"/>
  <cols>
    <col min="1" max="1" width="12.5546875" style="78" customWidth="1"/>
    <col min="2" max="2" width="27.6640625" style="78" customWidth="1"/>
    <col min="3" max="3" width="11.6640625" style="78" customWidth="1"/>
    <col min="4" max="4" width="24.6640625" style="78" customWidth="1"/>
    <col min="5" max="16384" width="10.33203125" style="78"/>
  </cols>
  <sheetData>
    <row r="1" spans="1:4">
      <c r="A1" s="86" t="s">
        <v>68</v>
      </c>
    </row>
    <row r="2" spans="1:4" s="79" customFormat="1" ht="13.2">
      <c r="B2" s="80"/>
      <c r="C2" s="81"/>
      <c r="D2" s="81"/>
    </row>
    <row r="3" spans="1:4" s="79" customFormat="1" ht="13.2">
      <c r="A3" s="82" t="s">
        <v>0</v>
      </c>
      <c r="B3" s="83" t="s">
        <v>1</v>
      </c>
    </row>
    <row r="4" spans="1:4" s="79" customFormat="1" ht="13.2">
      <c r="A4" s="91">
        <v>38078</v>
      </c>
      <c r="B4" s="84" t="s">
        <v>64</v>
      </c>
    </row>
    <row r="5" spans="1:4" s="79" customFormat="1" ht="13.2">
      <c r="A5" s="91">
        <v>38153</v>
      </c>
      <c r="B5" s="84" t="s">
        <v>65</v>
      </c>
    </row>
    <row r="6" spans="1:4" s="79" customFormat="1" ht="13.2">
      <c r="A6" s="92">
        <v>0.1</v>
      </c>
      <c r="B6" s="84" t="s">
        <v>66</v>
      </c>
    </row>
    <row r="7" spans="1:4" s="79" customFormat="1" ht="13.2">
      <c r="A7" s="88">
        <v>1000</v>
      </c>
      <c r="B7" s="84" t="s">
        <v>67</v>
      </c>
      <c r="C7" s="85"/>
    </row>
    <row r="8" spans="1:4" s="79" customFormat="1" ht="13.2">
      <c r="A8" s="88">
        <v>3</v>
      </c>
      <c r="B8" s="87" t="s">
        <v>77</v>
      </c>
      <c r="C8" s="85"/>
    </row>
    <row r="9" spans="1:4" s="79" customFormat="1" ht="14.25" customHeight="1">
      <c r="A9"/>
      <c r="B9"/>
      <c r="C9" s="85"/>
    </row>
    <row r="10" spans="1:4" s="79" customFormat="1" ht="13.2">
      <c r="A10" s="89" t="s">
        <v>69</v>
      </c>
      <c r="B10" s="90" t="s">
        <v>70</v>
      </c>
      <c r="C10" s="85"/>
    </row>
    <row r="11" spans="1:4" s="79" customFormat="1" ht="13.2">
      <c r="A11" s="208">
        <f>ACCRINTM(A4,A5,A6,A7,A8)</f>
        <v>20.547945205479451</v>
      </c>
      <c r="B11" s="84" t="s">
        <v>72</v>
      </c>
      <c r="C11" s="209" t="s">
        <v>71</v>
      </c>
    </row>
    <row r="16" spans="1:4">
      <c r="C16" s="207"/>
    </row>
  </sheetData>
  <phoneticPr fontId="15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5"/>
  <dimension ref="A1:D18"/>
  <sheetViews>
    <sheetView workbookViewId="0">
      <selection activeCell="A11" sqref="A11"/>
    </sheetView>
  </sheetViews>
  <sheetFormatPr defaultColWidth="10.33203125" defaultRowHeight="12"/>
  <cols>
    <col min="1" max="1" width="17.44140625" style="2" customWidth="1"/>
    <col min="2" max="2" width="24.5546875" style="3" customWidth="1"/>
    <col min="3" max="3" width="22.44140625" style="2" customWidth="1"/>
    <col min="4" max="4" width="17.33203125" style="3" customWidth="1"/>
    <col min="5" max="16384" width="10.33203125" style="3"/>
  </cols>
  <sheetData>
    <row r="1" spans="1:4" ht="15.6">
      <c r="A1" s="36" t="s">
        <v>44</v>
      </c>
      <c r="B1" s="1"/>
    </row>
    <row r="2" spans="1:4">
      <c r="A2" s="4"/>
      <c r="B2" s="1"/>
    </row>
    <row r="3" spans="1:4" ht="13.2">
      <c r="A3" s="46" t="s">
        <v>0</v>
      </c>
      <c r="B3" s="46" t="s">
        <v>1</v>
      </c>
      <c r="C3" s="6"/>
    </row>
    <row r="4" spans="1:4" ht="13.2">
      <c r="A4" s="164">
        <v>2.2499999999999999E-2</v>
      </c>
      <c r="B4" s="47" t="s">
        <v>2</v>
      </c>
      <c r="C4" s="6"/>
      <c r="D4" s="8"/>
    </row>
    <row r="5" spans="1:4" ht="18.75" customHeight="1">
      <c r="A5" s="130">
        <v>24</v>
      </c>
      <c r="B5" s="47" t="s">
        <v>105</v>
      </c>
      <c r="C5" s="6"/>
      <c r="D5" s="8"/>
    </row>
    <row r="6" spans="1:4" ht="13.2">
      <c r="A6" s="130">
        <v>-2000</v>
      </c>
      <c r="B6" s="47" t="s">
        <v>106</v>
      </c>
      <c r="C6" s="6"/>
      <c r="D6" s="8"/>
    </row>
    <row r="7" spans="1:4" ht="13.2">
      <c r="A7" s="130">
        <v>0</v>
      </c>
      <c r="B7" s="47" t="s">
        <v>107</v>
      </c>
      <c r="C7" s="6"/>
      <c r="D7" s="8"/>
    </row>
    <row r="8" spans="1:4" ht="13.2">
      <c r="A8" s="130">
        <v>1</v>
      </c>
      <c r="B8" s="47" t="s">
        <v>108</v>
      </c>
      <c r="C8" s="6"/>
      <c r="D8" s="8"/>
    </row>
    <row r="9" spans="1:4" ht="13.2">
      <c r="A9" s="165"/>
      <c r="B9" s="165"/>
      <c r="C9" s="6"/>
      <c r="D9" s="8"/>
    </row>
    <row r="10" spans="1:4">
      <c r="A10" s="48" t="s">
        <v>3</v>
      </c>
      <c r="B10" s="48" t="s">
        <v>1</v>
      </c>
      <c r="C10" s="8"/>
    </row>
    <row r="11" spans="1:4" ht="13.2">
      <c r="A11" s="166">
        <f>FV(A4/12,A5,A6,A7,A8)</f>
        <v>49141.339969045584</v>
      </c>
      <c r="B11" s="47" t="s">
        <v>109</v>
      </c>
      <c r="C11" s="162" t="s">
        <v>104</v>
      </c>
    </row>
    <row r="12" spans="1:4">
      <c r="A12" s="49"/>
      <c r="B12" s="2"/>
      <c r="C12" s="11"/>
      <c r="D12" s="12"/>
    </row>
    <row r="13" spans="1:4">
      <c r="C13" s="11"/>
      <c r="D13" s="12"/>
    </row>
    <row r="14" spans="1:4">
      <c r="C14" s="11"/>
      <c r="D14" s="12"/>
    </row>
    <row r="18" spans="2:2" ht="13.8">
      <c r="B18" s="161"/>
    </row>
  </sheetData>
  <phoneticPr fontId="6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7"/>
  <dimension ref="A1:C21"/>
  <sheetViews>
    <sheetView workbookViewId="0">
      <selection activeCell="D12" sqref="D12"/>
    </sheetView>
  </sheetViews>
  <sheetFormatPr defaultColWidth="10.33203125" defaultRowHeight="12"/>
  <cols>
    <col min="1" max="1" width="17.33203125" style="106" customWidth="1"/>
    <col min="2" max="2" width="27.5546875" style="106" customWidth="1"/>
    <col min="3" max="3" width="29.109375" style="106" customWidth="1"/>
    <col min="4" max="4" width="17.33203125" style="106" customWidth="1"/>
    <col min="5" max="5" width="16.6640625" style="106" customWidth="1"/>
    <col min="6" max="16384" width="10.33203125" style="106"/>
  </cols>
  <sheetData>
    <row r="1" spans="1:3" ht="15.6">
      <c r="A1" s="112" t="s">
        <v>87</v>
      </c>
    </row>
    <row r="2" spans="1:3" ht="13.2">
      <c r="A2" s="107"/>
    </row>
    <row r="3" spans="1:3">
      <c r="A3" s="111" t="s">
        <v>0</v>
      </c>
      <c r="B3" s="111" t="s">
        <v>1</v>
      </c>
    </row>
    <row r="4" spans="1:3" ht="13.2">
      <c r="A4" s="114">
        <v>38064</v>
      </c>
      <c r="B4" s="110" t="s">
        <v>84</v>
      </c>
    </row>
    <row r="5" spans="1:3" ht="13.2">
      <c r="A5" s="114">
        <v>38216</v>
      </c>
      <c r="B5" s="110" t="s">
        <v>83</v>
      </c>
    </row>
    <row r="6" spans="1:3" ht="13.2">
      <c r="A6" s="115">
        <v>48.8</v>
      </c>
      <c r="B6" s="110" t="s">
        <v>85</v>
      </c>
    </row>
    <row r="7" spans="1:3" ht="13.2">
      <c r="A7" s="115">
        <v>52</v>
      </c>
      <c r="B7" s="110" t="s">
        <v>86</v>
      </c>
    </row>
    <row r="8" spans="1:3" ht="13.2">
      <c r="A8" s="115">
        <v>2</v>
      </c>
      <c r="B8" s="110" t="s">
        <v>88</v>
      </c>
    </row>
    <row r="9" spans="1:3" ht="13.2">
      <c r="A9" s="113"/>
      <c r="B9" s="113"/>
    </row>
    <row r="10" spans="1:3">
      <c r="A10" s="111" t="s">
        <v>3</v>
      </c>
      <c r="B10" s="111" t="s">
        <v>1</v>
      </c>
    </row>
    <row r="11" spans="1:3" ht="13.2">
      <c r="A11" s="210">
        <f>DISC(A4,A5,A6,A7,A8)</f>
        <v>0.145748987854251</v>
      </c>
      <c r="B11" s="110" t="s">
        <v>89</v>
      </c>
      <c r="C11" s="211" t="s">
        <v>202</v>
      </c>
    </row>
    <row r="12" spans="1:3">
      <c r="A12" s="109"/>
      <c r="B12" s="109"/>
      <c r="C12" s="108"/>
    </row>
    <row r="13" spans="1:3">
      <c r="A13" s="109"/>
      <c r="B13" s="109"/>
      <c r="C13" s="108"/>
    </row>
    <row r="14" spans="1:3">
      <c r="A14" s="109"/>
      <c r="B14" s="109"/>
      <c r="C14" s="108"/>
    </row>
    <row r="21" spans="3:3" ht="13.8">
      <c r="C21" s="172"/>
    </row>
  </sheetData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5"/>
  <dimension ref="A1:E17"/>
  <sheetViews>
    <sheetView workbookViewId="0">
      <selection activeCell="A9" sqref="A9"/>
    </sheetView>
  </sheetViews>
  <sheetFormatPr defaultColWidth="10.33203125" defaultRowHeight="13.2"/>
  <cols>
    <col min="1" max="1" width="27.44140625" style="14" customWidth="1"/>
    <col min="2" max="2" width="28.6640625" style="15" customWidth="1"/>
    <col min="3" max="3" width="27.109375" style="14" customWidth="1"/>
    <col min="4" max="4" width="17.33203125" style="15" customWidth="1"/>
    <col min="5" max="16384" width="10.33203125" style="15"/>
  </cols>
  <sheetData>
    <row r="1" spans="1:5" ht="15.6">
      <c r="A1" s="37" t="s">
        <v>53</v>
      </c>
      <c r="B1"/>
      <c r="C1" s="30"/>
    </row>
    <row r="2" spans="1:5">
      <c r="A2"/>
      <c r="B2" s="32"/>
      <c r="C2" s="30"/>
    </row>
    <row r="3" spans="1:5">
      <c r="A3" s="39" t="s">
        <v>0</v>
      </c>
      <c r="B3" s="39" t="s">
        <v>1</v>
      </c>
      <c r="C3" s="30"/>
    </row>
    <row r="4" spans="1:5">
      <c r="A4" s="58">
        <v>0.05</v>
      </c>
      <c r="B4" s="43" t="s">
        <v>2</v>
      </c>
      <c r="C4" s="30"/>
      <c r="D4" s="30"/>
      <c r="E4" s="31"/>
    </row>
    <row r="5" spans="1:5">
      <c r="A5" s="57">
        <v>15</v>
      </c>
      <c r="B5" s="43" t="s">
        <v>41</v>
      </c>
      <c r="C5" s="30"/>
      <c r="D5" s="30"/>
    </row>
    <row r="6" spans="1:5">
      <c r="A6" s="42">
        <v>1500000</v>
      </c>
      <c r="B6" s="43" t="s">
        <v>42</v>
      </c>
      <c r="C6" s="30"/>
      <c r="D6" s="30"/>
    </row>
    <row r="7" spans="1:5">
      <c r="A7" s="59"/>
      <c r="B7" s="54"/>
      <c r="C7" s="30"/>
      <c r="D7" s="30"/>
    </row>
    <row r="8" spans="1:5">
      <c r="A8" s="39" t="s">
        <v>3</v>
      </c>
      <c r="B8" s="39" t="s">
        <v>1</v>
      </c>
      <c r="C8" s="19"/>
    </row>
    <row r="9" spans="1:5" ht="26.4">
      <c r="A9" s="163">
        <f>PMT(A4/12, A5*12, 0, A6)</f>
        <v>-5611.9044011231381</v>
      </c>
      <c r="B9" s="43" t="s">
        <v>52</v>
      </c>
      <c r="C9" s="167" t="s">
        <v>110</v>
      </c>
    </row>
    <row r="17" spans="2:2" ht="13.8">
      <c r="B17" s="161"/>
    </row>
  </sheetData>
  <phoneticPr fontId="6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6"/>
  <dimension ref="A1:J33"/>
  <sheetViews>
    <sheetView workbookViewId="0">
      <selection activeCell="C16" sqref="C16"/>
    </sheetView>
  </sheetViews>
  <sheetFormatPr defaultColWidth="10.33203125" defaultRowHeight="13.2"/>
  <cols>
    <col min="1" max="1" width="10.44140625" style="52" customWidth="1"/>
    <col min="2" max="2" width="18.44140625" style="51" customWidth="1"/>
    <col min="3" max="3" width="21.33203125" style="51" customWidth="1"/>
    <col min="4" max="4" width="11.44140625" style="52" bestFit="1" customWidth="1"/>
    <col min="5" max="5" width="11.44140625" style="51" bestFit="1" customWidth="1"/>
    <col min="6" max="16384" width="10.33203125" style="51"/>
  </cols>
  <sheetData>
    <row r="1" spans="1:6" ht="15.6">
      <c r="A1" s="37" t="s">
        <v>54</v>
      </c>
      <c r="B1"/>
      <c r="C1"/>
      <c r="D1" s="50"/>
    </row>
    <row r="2" spans="1:6">
      <c r="A2"/>
      <c r="B2" s="32"/>
      <c r="C2"/>
      <c r="D2" s="60" t="s">
        <v>58</v>
      </c>
      <c r="E2" s="61">
        <f>PMT(A4/12, A5*12, A6)</f>
        <v>1021.9837524481807</v>
      </c>
    </row>
    <row r="3" spans="1:6">
      <c r="A3" s="39" t="s">
        <v>0</v>
      </c>
      <c r="B3" s="39" t="s">
        <v>1</v>
      </c>
      <c r="C3"/>
      <c r="D3" s="62">
        <v>3.7999999999999999E-2</v>
      </c>
      <c r="E3" s="63">
        <f t="dataTable" ref="E3:E15" dt2D="0" dtr="0" r1="A4"/>
        <v>1002.9734124587183</v>
      </c>
    </row>
    <row r="4" spans="1:6">
      <c r="A4" s="56">
        <v>4.2000000000000003E-2</v>
      </c>
      <c r="B4" s="43" t="s">
        <v>2</v>
      </c>
      <c r="C4"/>
      <c r="D4" s="62">
        <v>3.9E-2</v>
      </c>
      <c r="E4" s="64">
        <v>1007.7055906408013</v>
      </c>
      <c r="F4" s="31"/>
    </row>
    <row r="5" spans="1:6">
      <c r="A5" s="57">
        <v>10</v>
      </c>
      <c r="B5" s="43" t="s">
        <v>55</v>
      </c>
      <c r="C5"/>
      <c r="D5" s="62">
        <v>0.04</v>
      </c>
      <c r="E5" s="64">
        <v>1012.4513816487928</v>
      </c>
    </row>
    <row r="6" spans="1:6">
      <c r="A6" s="42">
        <v>-100000</v>
      </c>
      <c r="B6" s="43" t="s">
        <v>56</v>
      </c>
      <c r="C6"/>
      <c r="D6" s="62">
        <v>4.1000000000000002E-2</v>
      </c>
      <c r="E6" s="64">
        <v>1017.2107731229788</v>
      </c>
    </row>
    <row r="7" spans="1:6">
      <c r="A7" s="53"/>
      <c r="B7" s="54"/>
      <c r="C7"/>
      <c r="D7" s="62">
        <v>4.2000000000000003E-2</v>
      </c>
      <c r="E7" s="64">
        <v>1021.9837524481807</v>
      </c>
    </row>
    <row r="8" spans="1:6">
      <c r="A8" s="39" t="s">
        <v>3</v>
      </c>
      <c r="B8" s="39" t="s">
        <v>1</v>
      </c>
      <c r="C8"/>
      <c r="D8" s="62">
        <v>4.2999999999999997E-2</v>
      </c>
      <c r="E8" s="63">
        <v>1026.7703067550788</v>
      </c>
    </row>
    <row r="9" spans="1:6">
      <c r="A9" s="168">
        <f>PMT(A4/12, A5*12, A6)</f>
        <v>1021.9837524481807</v>
      </c>
      <c r="B9" s="43" t="s">
        <v>57</v>
      </c>
      <c r="C9" s="198" t="s">
        <v>221</v>
      </c>
      <c r="D9" s="62">
        <v>4.3999999999999997E-2</v>
      </c>
      <c r="E9" s="63">
        <v>1031.5704229207904</v>
      </c>
    </row>
    <row r="10" spans="1:6">
      <c r="C10"/>
      <c r="D10" s="62">
        <v>4.4999999999999998E-2</v>
      </c>
      <c r="E10" s="63">
        <v>1036.3840875701699</v>
      </c>
    </row>
    <row r="11" spans="1:6">
      <c r="D11" s="62">
        <v>4.5999999999999999E-2</v>
      </c>
      <c r="E11" s="63">
        <v>1041.2112870764338</v>
      </c>
    </row>
    <row r="12" spans="1:6">
      <c r="D12" s="62">
        <v>4.7E-2</v>
      </c>
      <c r="E12" s="63">
        <v>1046.0520075624477</v>
      </c>
    </row>
    <row r="13" spans="1:6">
      <c r="D13" s="62">
        <v>4.8000000000000001E-2</v>
      </c>
      <c r="E13" s="63">
        <v>1050.9062349014846</v>
      </c>
    </row>
    <row r="14" spans="1:6">
      <c r="D14" s="62">
        <v>4.9000000000000002E-2</v>
      </c>
      <c r="E14" s="63">
        <v>1055.7739547184322</v>
      </c>
    </row>
    <row r="15" spans="1:6">
      <c r="D15" s="62">
        <v>0.05</v>
      </c>
      <c r="E15" s="63">
        <v>1060.6551523907494</v>
      </c>
    </row>
    <row r="16" spans="1:6">
      <c r="D16" s="55"/>
    </row>
    <row r="18" spans="1:10">
      <c r="C18" s="216" t="s">
        <v>55</v>
      </c>
      <c r="D18" s="217"/>
      <c r="E18" s="217"/>
      <c r="F18" s="217"/>
      <c r="G18" s="217"/>
      <c r="H18" s="217"/>
      <c r="I18" s="217"/>
      <c r="J18" s="217"/>
    </row>
    <row r="19" spans="1:10">
      <c r="B19" s="66">
        <f>PMT(A4/12, A5*12, A6)</f>
        <v>1021.9837524481807</v>
      </c>
      <c r="C19" s="67">
        <v>8</v>
      </c>
      <c r="D19" s="67">
        <v>9</v>
      </c>
      <c r="E19" s="67">
        <v>10</v>
      </c>
      <c r="F19" s="67">
        <v>11</v>
      </c>
      <c r="G19" s="67">
        <v>12</v>
      </c>
      <c r="H19" s="67">
        <v>13</v>
      </c>
      <c r="I19" s="67">
        <v>14</v>
      </c>
      <c r="J19" s="67">
        <v>15</v>
      </c>
    </row>
    <row r="20" spans="1:10">
      <c r="A20" s="218" t="s">
        <v>59</v>
      </c>
      <c r="B20" s="68">
        <v>3.7999999999999999E-2</v>
      </c>
      <c r="C20" s="63">
        <f t="dataTable" ref="C20:J32" dt2D="1" dtr="0" r1="A5" r2="A4" ca="1"/>
        <v>1209.6457126137952</v>
      </c>
      <c r="D20" s="63">
        <v>1094.717815021876</v>
      </c>
      <c r="E20" s="63">
        <v>1002.9734124587183</v>
      </c>
      <c r="F20" s="63">
        <v>928.08924339019973</v>
      </c>
      <c r="G20" s="63">
        <v>865.84975452428716</v>
      </c>
      <c r="H20" s="63">
        <v>813.33644425597299</v>
      </c>
      <c r="I20" s="63">
        <v>768.4646303874149</v>
      </c>
      <c r="J20" s="63">
        <v>729.70551079400923</v>
      </c>
    </row>
    <row r="21" spans="1:10">
      <c r="A21" s="219"/>
      <c r="B21" s="68">
        <v>3.9E-2</v>
      </c>
      <c r="C21" s="63">
        <v>1214.2811467732824</v>
      </c>
      <c r="D21" s="63">
        <v>1099.4012093637464</v>
      </c>
      <c r="E21" s="63">
        <v>1007.7055906408013</v>
      </c>
      <c r="F21" s="63">
        <v>932.8707512853133</v>
      </c>
      <c r="G21" s="63">
        <v>870.68094796973617</v>
      </c>
      <c r="H21" s="63">
        <v>818.21754312982489</v>
      </c>
      <c r="I21" s="63">
        <v>773.39575344892114</v>
      </c>
      <c r="J21" s="63">
        <v>734.68669898790347</v>
      </c>
    </row>
    <row r="22" spans="1:10">
      <c r="A22" s="219"/>
      <c r="B22" s="68">
        <v>0.04</v>
      </c>
      <c r="C22" s="63">
        <v>1218.9275302306594</v>
      </c>
      <c r="D22" s="63">
        <v>1104.0968903020148</v>
      </c>
      <c r="E22" s="63">
        <v>1012.4513816487928</v>
      </c>
      <c r="F22" s="63">
        <v>937.66718601717093</v>
      </c>
      <c r="G22" s="63">
        <v>875.52836891358572</v>
      </c>
      <c r="H22" s="63">
        <v>823.11615570606625</v>
      </c>
      <c r="I22" s="63">
        <v>778.34566087504049</v>
      </c>
      <c r="J22" s="63">
        <v>739.68792560925567</v>
      </c>
    </row>
    <row r="23" spans="1:10">
      <c r="A23" s="219"/>
      <c r="B23" s="68">
        <v>4.1000000000000002E-2</v>
      </c>
      <c r="C23" s="63">
        <v>1223.5848561258979</v>
      </c>
      <c r="D23" s="63">
        <v>1108.8048485049592</v>
      </c>
      <c r="E23" s="63">
        <v>1017.2107731229788</v>
      </c>
      <c r="F23" s="63">
        <v>942.47853158728174</v>
      </c>
      <c r="G23" s="63">
        <v>880.39199705552494</v>
      </c>
      <c r="H23" s="63">
        <v>828.03225666968126</v>
      </c>
      <c r="I23" s="63">
        <v>783.31432157591416</v>
      </c>
      <c r="J23" s="63">
        <v>744.70915298872285</v>
      </c>
    </row>
    <row r="24" spans="1:10">
      <c r="A24" s="219"/>
      <c r="B24" s="68">
        <v>4.2000000000000003E-2</v>
      </c>
      <c r="C24" s="63">
        <v>1228.2531174653336</v>
      </c>
      <c r="D24" s="63">
        <v>1113.5250744525183</v>
      </c>
      <c r="E24" s="63">
        <v>1021.9837524481807</v>
      </c>
      <c r="F24" s="63">
        <v>947.30477166131004</v>
      </c>
      <c r="G24" s="63">
        <v>885.2718116651032</v>
      </c>
      <c r="H24" s="63">
        <v>832.9658201668127</v>
      </c>
      <c r="I24" s="63">
        <v>788.30170379942876</v>
      </c>
      <c r="J24" s="63">
        <v>749.7503426564673</v>
      </c>
    </row>
    <row r="25" spans="1:10">
      <c r="A25" s="219"/>
      <c r="B25" s="68">
        <v>4.2999999999999997E-2</v>
      </c>
      <c r="C25" s="63">
        <v>1232.9323071225169</v>
      </c>
      <c r="D25" s="63">
        <v>1118.2575584373169</v>
      </c>
      <c r="E25" s="63">
        <v>1026.7703067550788</v>
      </c>
      <c r="F25" s="63">
        <v>952.14588957086903</v>
      </c>
      <c r="G25" s="63">
        <v>890.16779158419649</v>
      </c>
      <c r="H25" s="63">
        <v>837.91681980816088</v>
      </c>
      <c r="I25" s="63">
        <v>793.30777513586077</v>
      </c>
      <c r="J25" s="63">
        <v>754.81145534842835</v>
      </c>
    </row>
    <row r="26" spans="1:10">
      <c r="A26" s="219"/>
      <c r="B26" s="68">
        <v>4.3999999999999997E-2</v>
      </c>
      <c r="C26" s="63">
        <v>1237.6224178380974</v>
      </c>
      <c r="D26" s="63">
        <v>1123.0022905648402</v>
      </c>
      <c r="E26" s="63">
        <v>1031.5704229207904</v>
      </c>
      <c r="F26" s="63">
        <v>957.00186831464362</v>
      </c>
      <c r="G26" s="63">
        <v>895.07991522887789</v>
      </c>
      <c r="H26" s="63">
        <v>842.88522867184997</v>
      </c>
      <c r="I26" s="63">
        <v>798.33250252205528</v>
      </c>
      <c r="J26" s="63">
        <v>759.89245101219808</v>
      </c>
    </row>
    <row r="27" spans="1:10">
      <c r="A27" s="219"/>
      <c r="B27" s="68">
        <v>4.4999999999999998E-2</v>
      </c>
      <c r="C27" s="63">
        <v>1242.3234422206094</v>
      </c>
      <c r="D27" s="63">
        <v>1127.7592607544134</v>
      </c>
      <c r="E27" s="63">
        <v>1036.3840875701699</v>
      </c>
      <c r="F27" s="63">
        <v>961.87269056018215</v>
      </c>
      <c r="G27" s="63">
        <v>900.00816059191038</v>
      </c>
      <c r="H27" s="63">
        <v>847.87101930688937</v>
      </c>
      <c r="I27" s="63">
        <v>803.37585224618192</v>
      </c>
      <c r="J27" s="63">
        <v>764.99328881346287</v>
      </c>
    </row>
    <row r="28" spans="1:10">
      <c r="A28" s="219"/>
      <c r="B28" s="68">
        <v>4.5999999999999999E-2</v>
      </c>
      <c r="C28" s="63">
        <v>1247.0353727463976</v>
      </c>
      <c r="D28" s="63">
        <v>1132.5284587394196</v>
      </c>
      <c r="E28" s="63">
        <v>1041.2112870764338</v>
      </c>
      <c r="F28" s="63">
        <v>966.75833864508718</v>
      </c>
      <c r="G28" s="63">
        <v>904.95250524470885</v>
      </c>
      <c r="H28" s="63">
        <v>852.87416373616804</v>
      </c>
      <c r="I28" s="63">
        <v>808.43778995208163</v>
      </c>
      <c r="J28" s="63">
        <v>770.11392714209705</v>
      </c>
    </row>
    <row r="29" spans="1:10">
      <c r="A29" s="219"/>
      <c r="B29" s="68">
        <v>4.7E-2</v>
      </c>
      <c r="C29" s="63">
        <v>1251.7582017603449</v>
      </c>
      <c r="D29" s="63">
        <v>1137.3098740682415</v>
      </c>
      <c r="E29" s="63">
        <v>1046.0520075624477</v>
      </c>
      <c r="F29" s="63">
        <v>971.65879457881306</v>
      </c>
      <c r="G29" s="63">
        <v>909.91292633986768</v>
      </c>
      <c r="H29" s="63">
        <v>857.89463345998456</v>
      </c>
      <c r="I29" s="63">
        <v>813.51828064413701</v>
      </c>
      <c r="J29" s="63">
        <v>775.25432361877483</v>
      </c>
    </row>
    <row r="30" spans="1:10">
      <c r="A30" s="219"/>
      <c r="B30" s="68">
        <v>4.8000000000000001E-2</v>
      </c>
      <c r="C30" s="63">
        <v>1256.4919214759409</v>
      </c>
      <c r="D30" s="63">
        <v>1142.1034961046146</v>
      </c>
      <c r="E30" s="63">
        <v>1050.9062349014846</v>
      </c>
      <c r="F30" s="63">
        <v>976.57404004400007</v>
      </c>
      <c r="G30" s="63">
        <v>914.88940061328276</v>
      </c>
      <c r="H30" s="63">
        <v>862.93239945922517</v>
      </c>
      <c r="I30" s="63">
        <v>818.61728869183798</v>
      </c>
      <c r="J30" s="63">
        <v>780.4144351013307</v>
      </c>
    </row>
    <row r="31" spans="1:10">
      <c r="A31" s="219"/>
      <c r="B31" s="68">
        <v>4.9000000000000002E-2</v>
      </c>
      <c r="C31" s="63">
        <v>1261.2365239758874</v>
      </c>
      <c r="D31" s="63">
        <v>1146.9093140284656</v>
      </c>
      <c r="E31" s="63">
        <v>1055.7739547184322</v>
      </c>
      <c r="F31" s="63">
        <v>981.50405639822202</v>
      </c>
      <c r="G31" s="63">
        <v>919.8819043866614</v>
      </c>
      <c r="H31" s="63">
        <v>867.98743219891787</v>
      </c>
      <c r="I31" s="63">
        <v>823.73477783472231</v>
      </c>
      <c r="J31" s="63">
        <v>785.59421769149321</v>
      </c>
    </row>
    <row r="32" spans="1:10">
      <c r="A32" s="219"/>
      <c r="B32" s="68">
        <v>0.05</v>
      </c>
      <c r="C32" s="63">
        <v>1265.992001212376</v>
      </c>
      <c r="D32" s="63">
        <v>1151.7273168364657</v>
      </c>
      <c r="E32" s="63">
        <v>1060.6551523907494</v>
      </c>
      <c r="F32" s="63">
        <v>986.44882467551577</v>
      </c>
      <c r="G32" s="63">
        <v>924.89041356984967</v>
      </c>
      <c r="H32" s="63">
        <v>873.05970163163431</v>
      </c>
      <c r="I32" s="63">
        <v>828.87071118719632</v>
      </c>
      <c r="J32" s="63">
        <v>790.79362674154254</v>
      </c>
    </row>
    <row r="33" spans="2:10">
      <c r="B33" s="65"/>
      <c r="C33" s="65"/>
      <c r="D33" s="65"/>
      <c r="E33" s="65"/>
      <c r="F33" s="65"/>
      <c r="G33" s="65"/>
      <c r="H33" s="65"/>
      <c r="I33" s="65"/>
      <c r="J33" s="65"/>
    </row>
  </sheetData>
  <mergeCells count="2">
    <mergeCell ref="C18:J18"/>
    <mergeCell ref="A20:A32"/>
  </mergeCells>
  <phoneticPr fontId="6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0"/>
  <dimension ref="A1:C15"/>
  <sheetViews>
    <sheetView workbookViewId="0">
      <selection activeCell="B14" sqref="B14"/>
    </sheetView>
  </sheetViews>
  <sheetFormatPr defaultColWidth="10.33203125" defaultRowHeight="13.2"/>
  <cols>
    <col min="1" max="1" width="18.109375" style="26" customWidth="1"/>
    <col min="2" max="2" width="28.5546875" style="26" bestFit="1" customWidth="1"/>
    <col min="3" max="3" width="26.33203125" style="26" customWidth="1"/>
    <col min="4" max="4" width="17.33203125" style="26" customWidth="1"/>
    <col min="5" max="16384" width="10.33203125" style="26"/>
  </cols>
  <sheetData>
    <row r="1" spans="1:3" ht="19.5" customHeight="1">
      <c r="A1" s="37" t="s">
        <v>60</v>
      </c>
      <c r="B1"/>
    </row>
    <row r="2" spans="1:3" ht="19.5" customHeight="1">
      <c r="A2"/>
      <c r="B2"/>
    </row>
    <row r="3" spans="1:3">
      <c r="A3" s="69" t="s">
        <v>0</v>
      </c>
      <c r="B3" s="69" t="s">
        <v>1</v>
      </c>
    </row>
    <row r="4" spans="1:3">
      <c r="A4" s="70">
        <v>500</v>
      </c>
      <c r="B4" s="71" t="s">
        <v>111</v>
      </c>
    </row>
    <row r="5" spans="1:3">
      <c r="A5" s="72">
        <v>0.08</v>
      </c>
      <c r="B5" s="71" t="s">
        <v>112</v>
      </c>
    </row>
    <row r="6" spans="1:3">
      <c r="A6" s="70">
        <v>20</v>
      </c>
      <c r="B6" s="71" t="s">
        <v>113</v>
      </c>
    </row>
    <row r="7" spans="1:3">
      <c r="A7" s="73"/>
      <c r="B7" s="74"/>
    </row>
    <row r="8" spans="1:3">
      <c r="A8" s="69" t="s">
        <v>3</v>
      </c>
      <c r="B8" s="69" t="s">
        <v>1</v>
      </c>
    </row>
    <row r="9" spans="1:3" ht="19.5" customHeight="1">
      <c r="A9" s="170">
        <f>PV(A5/12, 12*A6, A4,0, 0)</f>
        <v>-59777.145851187823</v>
      </c>
      <c r="B9" s="71" t="s">
        <v>26</v>
      </c>
      <c r="C9" s="171" t="s">
        <v>114</v>
      </c>
    </row>
    <row r="14" spans="1:3" ht="13.8">
      <c r="B14" s="161"/>
    </row>
    <row r="15" spans="1:3" ht="13.8">
      <c r="B15" s="160"/>
    </row>
  </sheetData>
  <phoneticPr fontId="6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"/>
  <dimension ref="A1:C15"/>
  <sheetViews>
    <sheetView workbookViewId="0">
      <selection activeCell="A11" sqref="A11"/>
    </sheetView>
  </sheetViews>
  <sheetFormatPr defaultColWidth="10.33203125" defaultRowHeight="13.2"/>
  <cols>
    <col min="1" max="1" width="19.109375" style="30" customWidth="1"/>
    <col min="2" max="2" width="28.5546875" style="30" bestFit="1" customWidth="1"/>
    <col min="3" max="3" width="26.33203125" style="30" customWidth="1"/>
    <col min="4" max="16384" width="10.33203125" style="30"/>
  </cols>
  <sheetData>
    <row r="1" spans="1:3" ht="15.6">
      <c r="A1" s="134" t="s">
        <v>93</v>
      </c>
    </row>
    <row r="3" spans="1:3">
      <c r="A3" s="131" t="s">
        <v>0</v>
      </c>
      <c r="B3" s="131" t="s">
        <v>1</v>
      </c>
    </row>
    <row r="4" spans="1:3">
      <c r="A4" s="136">
        <v>0.1</v>
      </c>
      <c r="B4" s="132" t="s">
        <v>2</v>
      </c>
    </row>
    <row r="5" spans="1:3">
      <c r="A5" s="135">
        <v>-160000</v>
      </c>
      <c r="B5" s="145" t="s">
        <v>115</v>
      </c>
    </row>
    <row r="6" spans="1:3">
      <c r="A6" s="135">
        <v>900000</v>
      </c>
      <c r="B6" s="132" t="s">
        <v>34</v>
      </c>
    </row>
    <row r="7" spans="1:3">
      <c r="A7" s="135">
        <v>0</v>
      </c>
      <c r="B7" s="132" t="s">
        <v>35</v>
      </c>
    </row>
    <row r="8" spans="1:3">
      <c r="A8" s="135">
        <v>1</v>
      </c>
      <c r="B8" s="132" t="s">
        <v>36</v>
      </c>
    </row>
    <row r="9" spans="1:3">
      <c r="A9" s="133"/>
      <c r="B9" s="133"/>
    </row>
    <row r="10" spans="1:3">
      <c r="A10" s="131" t="s">
        <v>3</v>
      </c>
      <c r="B10" s="131" t="s">
        <v>1</v>
      </c>
    </row>
    <row r="11" spans="1:3">
      <c r="A11" s="215">
        <f>NPER(A4, A5, A6, A7, A8)</f>
        <v>7.5137482717470192</v>
      </c>
      <c r="B11" s="145" t="s">
        <v>116</v>
      </c>
      <c r="C11" s="173" t="s">
        <v>117</v>
      </c>
    </row>
    <row r="15" spans="1:3" ht="13.8">
      <c r="B15" s="172"/>
    </row>
  </sheetData>
  <phoneticPr fontId="6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1:E18"/>
  <sheetViews>
    <sheetView workbookViewId="0">
      <selection activeCell="D30" sqref="D30"/>
    </sheetView>
  </sheetViews>
  <sheetFormatPr defaultColWidth="10.33203125" defaultRowHeight="13.2"/>
  <cols>
    <col min="1" max="1" width="16.5546875" style="14" customWidth="1"/>
    <col min="2" max="2" width="22.33203125" style="15" customWidth="1"/>
    <col min="3" max="3" width="12" style="14" bestFit="1" customWidth="1"/>
    <col min="4" max="4" width="20.88671875" style="15" customWidth="1"/>
    <col min="5" max="16384" width="10.33203125" style="15"/>
  </cols>
  <sheetData>
    <row r="1" spans="1:5" ht="16.2">
      <c r="A1" s="36" t="s">
        <v>126</v>
      </c>
      <c r="B1" s="13"/>
    </row>
    <row r="2" spans="1:5">
      <c r="A2" s="16"/>
      <c r="B2" s="13"/>
    </row>
    <row r="3" spans="1:5">
      <c r="A3" s="46" t="s">
        <v>0</v>
      </c>
      <c r="B3" s="46" t="s">
        <v>1</v>
      </c>
      <c r="C3"/>
      <c r="D3" s="17"/>
      <c r="E3" s="18"/>
    </row>
    <row r="4" spans="1:5">
      <c r="A4" s="129">
        <v>0.08</v>
      </c>
      <c r="B4" s="47" t="s">
        <v>2</v>
      </c>
      <c r="C4"/>
      <c r="D4" s="17"/>
    </row>
    <row r="5" spans="1:5">
      <c r="A5" s="130">
        <v>3</v>
      </c>
      <c r="B5" s="47" t="s">
        <v>5</v>
      </c>
      <c r="C5"/>
      <c r="D5" s="17"/>
    </row>
    <row r="6" spans="1:5">
      <c r="A6" s="130">
        <v>60000</v>
      </c>
      <c r="B6" s="47" t="s">
        <v>18</v>
      </c>
      <c r="C6"/>
      <c r="D6" s="17"/>
    </row>
    <row r="7" spans="1:5">
      <c r="A7" s="126"/>
      <c r="B7" s="127"/>
      <c r="C7" s="17"/>
      <c r="D7" s="17"/>
    </row>
    <row r="8" spans="1:5">
      <c r="A8" s="128" t="s">
        <v>3</v>
      </c>
      <c r="B8" s="128" t="s">
        <v>1</v>
      </c>
      <c r="C8" s="128" t="s">
        <v>3</v>
      </c>
      <c r="D8" s="128" t="s">
        <v>1</v>
      </c>
    </row>
    <row r="9" spans="1:5">
      <c r="A9" s="174">
        <f>IPMT(A4/12,1,A5*12,A6)</f>
        <v>-400</v>
      </c>
      <c r="B9" s="47" t="s">
        <v>118</v>
      </c>
      <c r="C9" s="174">
        <f>PPMT(A4/12,1,A5*12,A6)</f>
        <v>-1480.181927685865</v>
      </c>
      <c r="D9" s="47" t="s">
        <v>122</v>
      </c>
    </row>
    <row r="10" spans="1:5">
      <c r="A10" s="174">
        <f>IPMT(A4/12,3,A5*12,A6)</f>
        <v>-380.19845510073588</v>
      </c>
      <c r="B10" s="47" t="s">
        <v>6</v>
      </c>
      <c r="C10" s="174">
        <f>PPMT(A4/12,3,A5*12,A6)</f>
        <v>-1499.9834725851292</v>
      </c>
      <c r="D10" s="47" t="s">
        <v>123</v>
      </c>
    </row>
    <row r="11" spans="1:5">
      <c r="A11" s="174">
        <f>IPMT(A4/12,36,A5*12,A6)</f>
        <v>-12.451535944939339</v>
      </c>
      <c r="B11" s="47" t="s">
        <v>124</v>
      </c>
      <c r="C11" s="174">
        <f>PPMT(A4/12,36,A5*12,A6)</f>
        <v>-1867.7303917409256</v>
      </c>
      <c r="D11" s="47" t="s">
        <v>125</v>
      </c>
    </row>
    <row r="12" spans="1:5">
      <c r="A12" s="174">
        <f>IPMT(A4,1,A5,A6)</f>
        <v>-4800</v>
      </c>
      <c r="B12" s="47" t="s">
        <v>7</v>
      </c>
      <c r="C12" s="174">
        <f>PPMT(A4,1,A5,A6)</f>
        <v>-18482.010842779684</v>
      </c>
      <c r="D12" s="47" t="s">
        <v>119</v>
      </c>
    </row>
    <row r="13" spans="1:5">
      <c r="A13" s="174">
        <f>IPMT(A4,1,A5,A6)</f>
        <v>-4800</v>
      </c>
      <c r="B13" s="47" t="s">
        <v>8</v>
      </c>
      <c r="C13" s="174">
        <f>PPMT(A4,1,A5,A6)</f>
        <v>-18482.010842779684</v>
      </c>
      <c r="D13" s="47" t="s">
        <v>120</v>
      </c>
    </row>
    <row r="14" spans="1:5">
      <c r="A14" s="174">
        <f>IPMT(A4,3,A5,A6)</f>
        <v>-1724.5933957614582</v>
      </c>
      <c r="B14" s="47" t="s">
        <v>9</v>
      </c>
      <c r="C14" s="174">
        <f>PPMT(A4,3,A5,A6)</f>
        <v>-21557.417447018226</v>
      </c>
      <c r="D14" s="47" t="s">
        <v>121</v>
      </c>
    </row>
    <row r="15" spans="1:5">
      <c r="C15" s="20"/>
      <c r="D15" s="19"/>
    </row>
    <row r="16" spans="1:5" ht="13.8">
      <c r="B16" s="161"/>
    </row>
    <row r="17" spans="2:2" ht="13.8">
      <c r="B17" s="161"/>
    </row>
    <row r="18" spans="2:2" ht="13.8">
      <c r="B18" s="160"/>
    </row>
  </sheetData>
  <phoneticPr fontId="6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1"/>
  <dimension ref="A1:C25"/>
  <sheetViews>
    <sheetView workbookViewId="0">
      <selection activeCell="B25" sqref="B25"/>
    </sheetView>
  </sheetViews>
  <sheetFormatPr defaultColWidth="10.33203125" defaultRowHeight="13.2"/>
  <cols>
    <col min="1" max="1" width="16" style="117" customWidth="1"/>
    <col min="2" max="2" width="31.6640625" style="117" customWidth="1"/>
    <col min="3" max="3" width="26.33203125" style="117" customWidth="1"/>
    <col min="4" max="4" width="17.33203125" style="117" customWidth="1"/>
    <col min="5" max="5" width="16.6640625" style="117" customWidth="1"/>
    <col min="6" max="16384" width="10.33203125" style="117"/>
  </cols>
  <sheetData>
    <row r="1" spans="1:3" s="116" customFormat="1" ht="15.6">
      <c r="A1" s="37" t="s">
        <v>90</v>
      </c>
    </row>
    <row r="2" spans="1:3" s="116" customFormat="1">
      <c r="A2" s="104"/>
    </row>
    <row r="3" spans="1:3">
      <c r="A3" s="111" t="s">
        <v>0</v>
      </c>
      <c r="B3" s="111" t="s">
        <v>1</v>
      </c>
    </row>
    <row r="4" spans="1:3">
      <c r="A4" s="122">
        <v>0.09</v>
      </c>
      <c r="B4" s="110" t="s">
        <v>2</v>
      </c>
    </row>
    <row r="5" spans="1:3">
      <c r="A5" s="115">
        <v>20</v>
      </c>
      <c r="B5" s="110" t="s">
        <v>55</v>
      </c>
    </row>
    <row r="6" spans="1:3">
      <c r="A6" s="123">
        <v>5000000</v>
      </c>
      <c r="B6" s="110" t="s">
        <v>4</v>
      </c>
    </row>
    <row r="7" spans="1:3">
      <c r="A7" s="120"/>
      <c r="B7" s="121"/>
    </row>
    <row r="8" spans="1:3">
      <c r="A8" s="111" t="s">
        <v>3</v>
      </c>
      <c r="B8" s="111" t="s">
        <v>1</v>
      </c>
    </row>
    <row r="9" spans="1:3" ht="25.2">
      <c r="A9" s="175">
        <f>CUMPRINC(A4/12,A5*12,A6,13,24,0)</f>
        <v>-102419.1734072566</v>
      </c>
      <c r="B9" s="110" t="s">
        <v>91</v>
      </c>
      <c r="C9" s="176" t="s">
        <v>127</v>
      </c>
    </row>
    <row r="10" spans="1:3">
      <c r="A10" s="175">
        <f>CUMPRINC(A4/12,A5*12,A6,1,1,0)</f>
        <v>-7486.2977925084779</v>
      </c>
      <c r="B10" s="110" t="s">
        <v>92</v>
      </c>
      <c r="C10" s="176" t="s">
        <v>128</v>
      </c>
    </row>
    <row r="11" spans="1:3">
      <c r="A11" s="105"/>
      <c r="B11" s="119"/>
      <c r="C11" s="118"/>
    </row>
    <row r="18" spans="1:2" ht="13.8">
      <c r="B18" s="172"/>
    </row>
    <row r="21" spans="1:2">
      <c r="A21"/>
    </row>
    <row r="22" spans="1:2">
      <c r="A22"/>
    </row>
    <row r="23" spans="1:2">
      <c r="A23"/>
    </row>
    <row r="24" spans="1:2">
      <c r="A24"/>
    </row>
    <row r="25" spans="1:2" ht="13.8">
      <c r="A25"/>
      <c r="B25" s="172"/>
    </row>
  </sheetData>
  <phoneticPr fontId="6" type="noConversion"/>
  <pageMargins left="0.75" right="0.75" top="1" bottom="1" header="0.5" footer="0.5"/>
  <headerFooter alignWithMargins="0"/>
  <legacyDrawing r:id="rId1"/>
  <controls>
    <control shapeId="2049" r:id="rId2" name="Control 1"/>
  </controls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4"/>
  <dimension ref="A1:C15"/>
  <sheetViews>
    <sheetView workbookViewId="0">
      <selection activeCell="B15" sqref="B15"/>
    </sheetView>
  </sheetViews>
  <sheetFormatPr defaultColWidth="10.33203125" defaultRowHeight="13.2"/>
  <cols>
    <col min="1" max="1" width="23.6640625" style="26" customWidth="1"/>
    <col min="2" max="2" width="28.5546875" style="26" bestFit="1" customWidth="1"/>
    <col min="3" max="3" width="26.33203125" style="26" customWidth="1"/>
    <col min="4" max="4" width="17.33203125" style="26" customWidth="1"/>
    <col min="5" max="16384" width="10.33203125" style="26"/>
  </cols>
  <sheetData>
    <row r="1" spans="1:3" ht="15.6">
      <c r="A1" s="37" t="s">
        <v>100</v>
      </c>
      <c r="B1"/>
    </row>
    <row r="2" spans="1:3">
      <c r="A2"/>
      <c r="B2"/>
    </row>
    <row r="3" spans="1:3">
      <c r="A3" s="69" t="s">
        <v>0</v>
      </c>
      <c r="B3" s="69" t="s">
        <v>1</v>
      </c>
    </row>
    <row r="4" spans="1:3">
      <c r="A4" s="125">
        <v>540000</v>
      </c>
      <c r="B4" s="139" t="s">
        <v>94</v>
      </c>
    </row>
    <row r="5" spans="1:3">
      <c r="A5" s="125">
        <v>90000</v>
      </c>
      <c r="B5" s="139" t="s">
        <v>95</v>
      </c>
    </row>
    <row r="6" spans="1:3">
      <c r="A6" s="124">
        <v>10</v>
      </c>
      <c r="B6" s="139" t="s">
        <v>96</v>
      </c>
    </row>
    <row r="7" spans="1:3">
      <c r="A7" s="73"/>
      <c r="B7" s="74"/>
    </row>
    <row r="8" spans="1:3">
      <c r="A8" s="69" t="s">
        <v>3</v>
      </c>
      <c r="B8" s="69" t="s">
        <v>1</v>
      </c>
    </row>
    <row r="9" spans="1:3" ht="24">
      <c r="A9" s="169">
        <f>SLN(A4, A5, A6)</f>
        <v>45000</v>
      </c>
      <c r="B9" s="71" t="s">
        <v>28</v>
      </c>
      <c r="C9" s="171" t="s">
        <v>129</v>
      </c>
    </row>
    <row r="15" spans="1:3" ht="13.8">
      <c r="B15" s="160"/>
    </row>
  </sheetData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Contents</vt:lpstr>
      <vt:lpstr>FV</vt:lpstr>
      <vt:lpstr>PMT1</vt:lpstr>
      <vt:lpstr>PMT2</vt:lpstr>
      <vt:lpstr>PV</vt:lpstr>
      <vt:lpstr>NPER</vt:lpstr>
      <vt:lpstr>IPMT、PPMT</vt:lpstr>
      <vt:lpstr>CUMPRINC</vt:lpstr>
      <vt:lpstr>SLN</vt:lpstr>
      <vt:lpstr>DB1</vt:lpstr>
      <vt:lpstr>DB2</vt:lpstr>
      <vt:lpstr>DDB</vt:lpstr>
      <vt:lpstr>VDB</vt:lpstr>
      <vt:lpstr>SYD</vt:lpstr>
      <vt:lpstr>NPV</vt:lpstr>
      <vt:lpstr>IRR</vt:lpstr>
      <vt:lpstr>RATE</vt:lpstr>
      <vt:lpstr>ACCRINT</vt:lpstr>
      <vt:lpstr>ACCRINTM</vt:lpstr>
      <vt:lpstr>DISC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david</cp:lastModifiedBy>
  <dcterms:created xsi:type="dcterms:W3CDTF">2004-05-09T09:01:54Z</dcterms:created>
  <dcterms:modified xsi:type="dcterms:W3CDTF">2008-09-22T07:33:12Z</dcterms:modified>
</cp:coreProperties>
</file>